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Annual Cost (to 10 yrs)" sheetId="1" r:id="rId1"/>
    <sheet name="Graph(10)" sheetId="2" r:id="rId2"/>
    <sheet name="Annual Cost (to 15 yrs)" sheetId="3" r:id="rId3"/>
    <sheet name="Graph(15)" sheetId="4" r:id="rId4"/>
  </sheets>
  <definedNames/>
  <calcPr fullCalcOnLoad="1"/>
</workbook>
</file>

<file path=xl/sharedStrings.xml><?xml version="1.0" encoding="utf-8"?>
<sst xmlns="http://schemas.openxmlformats.org/spreadsheetml/2006/main" count="81" uniqueCount="26">
  <si>
    <t>ANNUAL COSTS</t>
  </si>
  <si>
    <t>McGilliard and Pecsok</t>
  </si>
  <si>
    <t>NAME OF PURCHASE</t>
  </si>
  <si>
    <t>Used Tractor</t>
  </si>
  <si>
    <t>MARR (INTEREST)</t>
  </si>
  <si>
    <t>INITIAL PRICE</t>
  </si>
  <si>
    <t/>
  </si>
  <si>
    <t>YEAR</t>
  </si>
  <si>
    <t>Salvage Value</t>
  </si>
  <si>
    <t>Operating Exp, Repairs</t>
  </si>
  <si>
    <t>DO NOT ENTER ANY VALUES BELOW THIS ROW!!!</t>
  </si>
  <si>
    <t>ANNUAL COSTS  (Per year through year i)</t>
  </si>
  <si>
    <t>THROUGH YEAR:</t>
  </si>
  <si>
    <t>INIT. PRICE</t>
  </si>
  <si>
    <t>SALV. VALUE</t>
  </si>
  <si>
    <t>OPERATE, REPAIRS</t>
  </si>
  <si>
    <t>TOTAL PER YEAR:</t>
  </si>
  <si>
    <t>ANNUAL COST COMPONENTS (Per year through year i)</t>
  </si>
  <si>
    <t>DEPRECIATION</t>
  </si>
  <si>
    <t>INTEREST</t>
  </si>
  <si>
    <t>COST EACH YEAR (Not cumulative and no compounding of interest)</t>
  </si>
  <si>
    <t>YEAR:</t>
  </si>
  <si>
    <t>TOTAL EACH YEAR:</t>
  </si>
  <si>
    <t>Graph</t>
  </si>
  <si>
    <t>ANNUAL COSTS (up to 15 yrs)</t>
  </si>
  <si>
    <t>New Tractor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</si>
</sst>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;;;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165" fontId="5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5" fontId="4" fillId="0" borderId="10" xfId="0" applyNumberFormat="1" applyFont="1" applyBorder="1" applyAlignment="1" applyProtection="1">
      <alignment horizontal="left"/>
      <protection/>
    </xf>
    <xf numFmtId="165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 applyProtection="1">
      <alignment horizontal="right"/>
      <protection/>
    </xf>
    <xf numFmtId="165" fontId="5" fillId="0" borderId="10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164" fontId="4" fillId="0" borderId="10" xfId="0" applyNumberFormat="1" applyFont="1" applyBorder="1" applyAlignment="1" applyProtection="1">
      <alignment horizontal="left"/>
      <protection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5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Annual Cost through Each Year</a:t>
            </a:r>
          </a:p>
        </c:rich>
      </c:tx>
      <c:layout>
        <c:manualLayout>
          <c:xMode val="factor"/>
          <c:yMode val="factor"/>
          <c:x val="0.03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14"/>
          <c:w val="0.8327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'Graph(10)'!$A$3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'Graph(10)'!$B$2:$K$2</c:f>
              <c:numCache/>
            </c:numRef>
          </c:cat>
          <c:val>
            <c:numRef>
              <c:f>'Graph(10)'!$B$3:$K$3</c:f>
              <c:numCache/>
            </c:numRef>
          </c:val>
        </c:ser>
        <c:ser>
          <c:idx val="1"/>
          <c:order val="1"/>
          <c:tx>
            <c:strRef>
              <c:f>'Graph(10)'!$A$4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'Graph(10)'!$B$2:$K$2</c:f>
              <c:numCache/>
            </c:numRef>
          </c:cat>
          <c:val>
            <c:numRef>
              <c:f>'Graph(10)'!$B$4:$K$4</c:f>
              <c:numCache/>
            </c:numRef>
          </c:val>
        </c:ser>
        <c:ser>
          <c:idx val="2"/>
          <c:order val="2"/>
          <c:tx>
            <c:strRef>
              <c:f>'Graph(10)'!$A$5</c:f>
              <c:strCache>
                <c:ptCount val="1"/>
                <c:pt idx="0">
                  <c:v>OPERATE, REPAIRS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'Graph(10)'!$B$2:$K$2</c:f>
              <c:numCache/>
            </c:numRef>
          </c:cat>
          <c:val>
            <c:numRef>
              <c:f>'Graph(10)'!$B$5:$K$5</c:f>
              <c:numCache/>
            </c:numRef>
          </c:val>
        </c:ser>
        <c:overlap val="100"/>
        <c:axId val="25587462"/>
        <c:axId val="28960567"/>
      </c:barChart>
      <c:cat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 val="autoZero"/>
        <c:auto val="0"/>
        <c:lblOffset val="100"/>
        <c:tickLblSkip val="1"/>
        <c:noMultiLvlLbl val="0"/>
      </c:catAx>
      <c:valAx>
        <c:axId val="2896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Cost/Year ($)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75"/>
          <c:y val="0.16875"/>
          <c:w val="0.3257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Annual Cost through Each Year</a:t>
            </a:r>
          </a:p>
        </c:rich>
      </c:tx>
      <c:layout>
        <c:manualLayout>
          <c:xMode val="factor"/>
          <c:yMode val="factor"/>
          <c:x val="0.02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4"/>
          <c:w val="0.8752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'Graph(15)'!$A$3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'Graph(15)'!$B$2:$P$2</c:f>
              <c:numCache/>
            </c:numRef>
          </c:cat>
          <c:val>
            <c:numRef>
              <c:f>'Graph(15)'!$B$3:$P$3</c:f>
              <c:numCache/>
            </c:numRef>
          </c:val>
        </c:ser>
        <c:ser>
          <c:idx val="1"/>
          <c:order val="1"/>
          <c:tx>
            <c:strRef>
              <c:f>'Graph(15)'!$A$4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'Graph(15)'!$B$2:$P$2</c:f>
              <c:numCache/>
            </c:numRef>
          </c:cat>
          <c:val>
            <c:numRef>
              <c:f>'Graph(15)'!$B$4:$P$4</c:f>
              <c:numCache/>
            </c:numRef>
          </c:val>
        </c:ser>
        <c:ser>
          <c:idx val="2"/>
          <c:order val="2"/>
          <c:tx>
            <c:strRef>
              <c:f>'Graph(15)'!$A$5</c:f>
              <c:strCache>
                <c:ptCount val="1"/>
                <c:pt idx="0">
                  <c:v>OPERATE, REPAIRS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'Graph(15)'!$B$2:$P$2</c:f>
              <c:numCache/>
            </c:numRef>
          </c:cat>
          <c:val>
            <c:numRef>
              <c:f>'Graph(15)'!$B$5:$P$5</c:f>
              <c:numCache/>
            </c:numRef>
          </c:val>
        </c:ser>
        <c:overlap val="100"/>
        <c:axId val="59318512"/>
        <c:axId val="64104561"/>
      </c:barChart>
      <c:catAx>
        <c:axId val="5931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 val="autoZero"/>
        <c:auto val="0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Cost/Year ($)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147"/>
          <c:w val="0.2337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7</xdr:row>
      <xdr:rowOff>0</xdr:rowOff>
    </xdr:from>
    <xdr:to>
      <xdr:col>7</xdr:col>
      <xdr:colOff>114300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171575" y="1162050"/>
        <a:ext cx="38100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0</xdr:rowOff>
    </xdr:from>
    <xdr:to>
      <xdr:col>8</xdr:col>
      <xdr:colOff>390525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571500" y="1162050"/>
        <a:ext cx="52768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B4" sqref="B4"/>
    </sheetView>
  </sheetViews>
  <sheetFormatPr defaultColWidth="9.625" defaultRowHeight="12.75"/>
  <cols>
    <col min="1" max="1" width="17.625" style="3" customWidth="1"/>
    <col min="2" max="2" width="11.625" style="3" customWidth="1"/>
    <col min="3" max="11" width="9.625" style="3" customWidth="1"/>
    <col min="12" max="16384" width="9.625" style="3" customWidth="1"/>
  </cols>
  <sheetData>
    <row r="1" spans="1:7" s="16" customFormat="1" ht="17.25">
      <c r="A1" s="14" t="s">
        <v>0</v>
      </c>
      <c r="B1" s="15"/>
      <c r="G1" s="15"/>
    </row>
    <row r="2" spans="6:10" ht="12.75">
      <c r="F2" s="2"/>
      <c r="I2"/>
      <c r="J2" s="3" t="s">
        <v>1</v>
      </c>
    </row>
    <row r="4" spans="1:2" ht="12.75">
      <c r="A4" s="1" t="s">
        <v>2</v>
      </c>
      <c r="B4" s="4" t="s">
        <v>3</v>
      </c>
    </row>
    <row r="5" spans="1:4" ht="12.75">
      <c r="A5" s="1" t="s">
        <v>4</v>
      </c>
      <c r="B5" s="5">
        <v>7</v>
      </c>
      <c r="D5" s="2"/>
    </row>
    <row r="6" spans="1:2" ht="12.75">
      <c r="A6" s="1" t="s">
        <v>5</v>
      </c>
      <c r="B6" s="6">
        <v>50000</v>
      </c>
    </row>
    <row r="7" spans="1:11" ht="13.5" thickBot="1">
      <c r="A7" s="11"/>
      <c r="B7" s="11"/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</row>
    <row r="8" spans="1:11" ht="13.5" thickBot="1">
      <c r="A8" s="9" t="s">
        <v>7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ht="12.75">
      <c r="A9" s="2" t="s">
        <v>8</v>
      </c>
      <c r="B9" s="6">
        <v>6500</v>
      </c>
      <c r="C9" s="6">
        <v>4000</v>
      </c>
      <c r="D9" s="6">
        <v>2100</v>
      </c>
      <c r="E9" s="6">
        <v>1000</v>
      </c>
      <c r="F9" s="6">
        <v>1000</v>
      </c>
      <c r="G9" s="6">
        <v>1000</v>
      </c>
      <c r="H9" s="6">
        <v>1000</v>
      </c>
      <c r="I9" s="6">
        <v>1000</v>
      </c>
      <c r="J9" s="6">
        <v>1000</v>
      </c>
      <c r="K9" s="6">
        <v>1000</v>
      </c>
    </row>
    <row r="10" spans="1:11" ht="13.5" thickBot="1">
      <c r="A10" s="9" t="s">
        <v>9</v>
      </c>
      <c r="B10" s="13">
        <v>500</v>
      </c>
      <c r="C10" s="13">
        <v>600</v>
      </c>
      <c r="D10" s="13">
        <v>1500</v>
      </c>
      <c r="E10" s="13">
        <v>2800</v>
      </c>
      <c r="F10" s="13">
        <v>2800</v>
      </c>
      <c r="G10" s="13">
        <v>2800</v>
      </c>
      <c r="H10" s="13">
        <v>2800</v>
      </c>
      <c r="I10" s="13">
        <v>2800</v>
      </c>
      <c r="J10" s="13">
        <v>2800</v>
      </c>
      <c r="K10" s="13">
        <v>2800</v>
      </c>
    </row>
    <row r="11" spans="1:5" ht="12.75">
      <c r="A11" s="1" t="s">
        <v>10</v>
      </c>
      <c r="E11" s="4"/>
    </row>
    <row r="13" spans="2:11" ht="12.75">
      <c r="B13" s="8">
        <f>$B$6*($B$9/100)*(-1)</f>
        <v>-3250000</v>
      </c>
      <c r="C13" s="8">
        <f>B6*(C9/100)*(-1)</f>
        <v>-2000000</v>
      </c>
      <c r="D13" s="8">
        <f>B6*(D9/100)*(-1)</f>
        <v>-1050000</v>
      </c>
      <c r="E13" s="8">
        <f>B6*(E9/100)*(-1)</f>
        <v>-500000</v>
      </c>
      <c r="F13" s="8">
        <f>B6*(F9/100)*(-1)</f>
        <v>-500000</v>
      </c>
      <c r="G13" s="8">
        <f>B6*(G9/100)*(-1)</f>
        <v>-500000</v>
      </c>
      <c r="H13" s="8">
        <f>B6*(H9/100)*(-1)</f>
        <v>-500000</v>
      </c>
      <c r="I13" s="8">
        <f>B6*(I9/100)*(-1)</f>
        <v>-500000</v>
      </c>
      <c r="J13" s="8">
        <f>B6*(J9/100)*(-1)</f>
        <v>-500000</v>
      </c>
      <c r="K13" s="8">
        <f>B6*(K9/100)*(-1)</f>
        <v>-500000</v>
      </c>
    </row>
    <row r="14" spans="2:11" ht="12.75">
      <c r="B14" s="8">
        <f>B$9*((1+$B$5/100)^-B$18)</f>
        <v>6074.7663551401865</v>
      </c>
      <c r="C14" s="8">
        <f aca="true" t="shared" si="0" ref="C14:K14">C$9*((1+$B$5/100)^-C$18)</f>
        <v>3493.7549130928464</v>
      </c>
      <c r="D14" s="8">
        <f t="shared" si="0"/>
        <v>1714.225541470789</v>
      </c>
      <c r="E14" s="8">
        <f t="shared" si="0"/>
        <v>762.8952120475252</v>
      </c>
      <c r="F14" s="8">
        <f t="shared" si="0"/>
        <v>712.9861794836684</v>
      </c>
      <c r="G14" s="8">
        <f t="shared" si="0"/>
        <v>666.3422238165125</v>
      </c>
      <c r="H14" s="8">
        <f t="shared" si="0"/>
        <v>622.7497418845911</v>
      </c>
      <c r="I14" s="8">
        <f t="shared" si="0"/>
        <v>582.0091045650385</v>
      </c>
      <c r="J14" s="8">
        <f t="shared" si="0"/>
        <v>543.933742584148</v>
      </c>
      <c r="K14" s="8">
        <f t="shared" si="0"/>
        <v>508.3492921347178</v>
      </c>
    </row>
    <row r="16" spans="2:11" ht="12.75">
      <c r="B16" s="8">
        <f>B$10*((1+$B$5/100)^-B$18)*(-1)</f>
        <v>-467.2897196261682</v>
      </c>
      <c r="C16" s="8">
        <f aca="true" t="shared" si="1" ref="C16:K16">C$10*((1+$B$5/100)^-C$18)*(-1)</f>
        <v>-524.0632369639269</v>
      </c>
      <c r="D16" s="8">
        <f t="shared" si="1"/>
        <v>-1224.4468153362777</v>
      </c>
      <c r="E16" s="8">
        <f t="shared" si="1"/>
        <v>-2136.1065937330704</v>
      </c>
      <c r="F16" s="8">
        <f t="shared" si="1"/>
        <v>-1996.3613025542716</v>
      </c>
      <c r="G16" s="8">
        <f t="shared" si="1"/>
        <v>-1865.758226686235</v>
      </c>
      <c r="H16" s="8">
        <f t="shared" si="1"/>
        <v>-1743.6992772768551</v>
      </c>
      <c r="I16" s="8">
        <f t="shared" si="1"/>
        <v>-1629.6254927821076</v>
      </c>
      <c r="J16" s="8">
        <f t="shared" si="1"/>
        <v>-1523.0144792356145</v>
      </c>
      <c r="K16" s="8">
        <f t="shared" si="1"/>
        <v>-1423.3780179772098</v>
      </c>
    </row>
    <row r="17" spans="1:11" ht="13.5" thickBot="1">
      <c r="A17" s="17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3.5" thickBot="1">
      <c r="A18" s="9" t="s">
        <v>12</v>
      </c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</row>
    <row r="19" spans="1:11" ht="12.75">
      <c r="A19" s="1" t="s">
        <v>13</v>
      </c>
      <c r="B19" s="7">
        <f aca="true" t="shared" si="2" ref="B19:K19">IF($B$5=0,-$B$6/B$18,$B$6*($B$5/100)*((1+$B$5/100)^B$18)*((((1+$B$5/100)^B$18)-1)^-1)*(-1))</f>
        <v>-53499.99999999996</v>
      </c>
      <c r="C19" s="7">
        <f t="shared" si="2"/>
        <v>-27654.589371980674</v>
      </c>
      <c r="D19" s="7">
        <f t="shared" si="2"/>
        <v>-19052.58328408348</v>
      </c>
      <c r="E19" s="7">
        <f t="shared" si="2"/>
        <v>-14761.405833363178</v>
      </c>
      <c r="F19" s="7">
        <f t="shared" si="2"/>
        <v>-12194.534722068702</v>
      </c>
      <c r="G19" s="7">
        <f t="shared" si="2"/>
        <v>-10489.789987916407</v>
      </c>
      <c r="H19" s="7">
        <f t="shared" si="2"/>
        <v>-9277.660981557967</v>
      </c>
      <c r="I19" s="7">
        <f t="shared" si="2"/>
        <v>-8373.388124537732</v>
      </c>
      <c r="J19" s="7">
        <f t="shared" si="2"/>
        <v>-7674.323506921095</v>
      </c>
      <c r="K19" s="7">
        <f t="shared" si="2"/>
        <v>-7118.875136368236</v>
      </c>
    </row>
    <row r="20" spans="1:11" ht="12.75">
      <c r="A20" s="1" t="s">
        <v>14</v>
      </c>
      <c r="B20" s="7">
        <f>IF($B$5=0,B$9/B$18,B$14*($B$5/100)*((1+$B$5/100)^B$18)*((((1+$B$5/100)^B$18)-1)^-1))</f>
        <v>6499.9999999999945</v>
      </c>
      <c r="C20" s="7">
        <f>IF($B$5=0,C$9/C$18,C$14*($B$5/100)*((1+$B$5/100)^C$18)*((((1+$B$5/100)^C$18)-1)^-1))</f>
        <v>1932.3671497584537</v>
      </c>
      <c r="D20" s="7">
        <f aca="true" t="shared" si="3" ref="D20:K20">IF($B$5=0,D$9/D$18,D$14*($B$5/100)*((1+$B$5/100)^D$18)*((((1+$B$5/100)^D$18)-1)^-1))</f>
        <v>653.2084979315061</v>
      </c>
      <c r="E20" s="7">
        <f t="shared" si="3"/>
        <v>225.2281166672635</v>
      </c>
      <c r="F20" s="7">
        <f t="shared" si="3"/>
        <v>173.89069444137402</v>
      </c>
      <c r="G20" s="7">
        <f t="shared" si="3"/>
        <v>139.79579975832812</v>
      </c>
      <c r="H20" s="7">
        <f t="shared" si="3"/>
        <v>115.55321963115932</v>
      </c>
      <c r="I20" s="7">
        <f t="shared" si="3"/>
        <v>97.46776249075465</v>
      </c>
      <c r="J20" s="7">
        <f t="shared" si="3"/>
        <v>83.4864701384219</v>
      </c>
      <c r="K20" s="7">
        <f t="shared" si="3"/>
        <v>72.37750272736471</v>
      </c>
    </row>
    <row r="21" spans="1:11" ht="13.5" thickBot="1">
      <c r="A21" s="17" t="s">
        <v>15</v>
      </c>
      <c r="B21" s="10">
        <f>IF($B$5=0,SUM($B$16)/B$18,SUM($B$16)*($B$5/100)*((1+$B$5/100)^B$18)*((((1+$B$5/100)^B$18)-1)^-1))</f>
        <v>-499.99999999999966</v>
      </c>
      <c r="C21" s="10">
        <f>IF($B$5=0,SUM($B$16:C$16)/C$18,SUM($B$16:C$16)*($B$5/100)*((1+$B$5/100)^C$18)*((((1+$B$5/100)^C$18)-1)^-1))</f>
        <v>-548.3091787439613</v>
      </c>
      <c r="D21" s="10">
        <f>IF($B$5=0,SUM($B$16:D$16)/D$18,SUM($B$16:D$16)*($B$5/100)*((1+$B$5/100)^D$18)*((((1+$B$5/100)^D$18)-1)^-1))</f>
        <v>-844.3341939096081</v>
      </c>
      <c r="E21" s="10">
        <f>IF($B$5=0,SUM($B$16:E$16)/E$18,SUM($B$16:E$16)*($B$5/100)*((1+$B$5/100)^E$18)*((((1+$B$5/100)^E$18)-1)^-1))</f>
        <v>-1284.805120245913</v>
      </c>
      <c r="F21" s="10">
        <f>IF($B$5=0,SUM($B$16:F$16)/F$18,SUM($B$16:F$16)*($B$5/100)*((1+$B$5/100)^F$18)*((((1+$B$5/100)^F$18)-1)^-1))</f>
        <v>-1548.283410100365</v>
      </c>
      <c r="G21" s="10">
        <f>IF($B$5=0,SUM($B$16:G$16)/G$18,SUM($B$16:G$16)*($B$5/100)*((1+$B$5/100)^G$18)*((((1+$B$5/100)^G$18)-1)^-1))</f>
        <v>-1723.2681318561522</v>
      </c>
      <c r="H21" s="10">
        <f>IF($B$5=0,SUM($B$16:H$16)/H$18,SUM($B$16:H$16)*($B$5/100)*((1+$B$5/100)^H$18)*((((1+$B$5/100)^H$18)-1)^-1))</f>
        <v>-1847.6879658996468</v>
      </c>
      <c r="I21" s="10">
        <f>IF($B$5=0,SUM($B$16:I$16)/I$18,SUM($B$16:I$16)*($B$5/100)*((1+$B$5/100)^I$18)*((((1+$B$5/100)^I$18)-1)^-1))</f>
        <v>-1940.5076890564274</v>
      </c>
      <c r="J21" s="10">
        <f>IF($B$5=0,SUM($B$16:J$16)/J$18,SUM($B$16:J$16)*($B$5/100)*((1+$B$5/100)^J$18)*((((1+$B$5/100)^J$18)-1)^-1))</f>
        <v>-2012.263668208221</v>
      </c>
      <c r="K21" s="10">
        <f>IF($B$5=0,SUM($B$16:K$16)/K$18,SUM($B$16:K$16)*($B$5/100)*((1+$B$5/100)^K$18)*((((1+$B$5/100)^K$18)-1)^-1))</f>
        <v>-2069.278056710925</v>
      </c>
    </row>
    <row r="22" spans="1:11" ht="12.75">
      <c r="A22" s="1" t="s">
        <v>16</v>
      </c>
      <c r="B22" s="7">
        <f aca="true" t="shared" si="4" ref="B22:K22">SUM(B19:B21)</f>
        <v>-47499.99999999997</v>
      </c>
      <c r="C22" s="7">
        <f t="shared" si="4"/>
        <v>-26270.53140096618</v>
      </c>
      <c r="D22" s="7">
        <f t="shared" si="4"/>
        <v>-19243.70898006158</v>
      </c>
      <c r="E22" s="7">
        <f t="shared" si="4"/>
        <v>-15820.982836941828</v>
      </c>
      <c r="F22" s="7">
        <f t="shared" si="4"/>
        <v>-13568.927437727692</v>
      </c>
      <c r="G22" s="7">
        <f t="shared" si="4"/>
        <v>-12073.26232001423</v>
      </c>
      <c r="H22" s="7">
        <f t="shared" si="4"/>
        <v>-11009.795727826455</v>
      </c>
      <c r="I22" s="7">
        <f t="shared" si="4"/>
        <v>-10216.428051103405</v>
      </c>
      <c r="J22" s="7">
        <f t="shared" si="4"/>
        <v>-9603.100704990893</v>
      </c>
      <c r="K22" s="7">
        <f t="shared" si="4"/>
        <v>-9115.775690351795</v>
      </c>
    </row>
    <row r="25" spans="1:11" ht="13.5" thickBot="1">
      <c r="A25" s="17" t="s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9" t="s">
        <v>12</v>
      </c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</row>
    <row r="27" spans="1:11" ht="12.75">
      <c r="A27" s="1" t="s">
        <v>18</v>
      </c>
      <c r="B27" s="7">
        <f aca="true" t="shared" si="5" ref="B27:K27">(B$9-$B$6)/B$26</f>
        <v>-43500</v>
      </c>
      <c r="C27" s="7">
        <f t="shared" si="5"/>
        <v>-23000</v>
      </c>
      <c r="D27" s="7">
        <f t="shared" si="5"/>
        <v>-15966.666666666666</v>
      </c>
      <c r="E27" s="7">
        <f t="shared" si="5"/>
        <v>-12250</v>
      </c>
      <c r="F27" s="7">
        <f t="shared" si="5"/>
        <v>-9800</v>
      </c>
      <c r="G27" s="7">
        <f t="shared" si="5"/>
        <v>-8166.666666666667</v>
      </c>
      <c r="H27" s="7">
        <f t="shared" si="5"/>
        <v>-7000</v>
      </c>
      <c r="I27" s="7">
        <f t="shared" si="5"/>
        <v>-6125</v>
      </c>
      <c r="J27" s="7">
        <f t="shared" si="5"/>
        <v>-5444.444444444444</v>
      </c>
      <c r="K27" s="7">
        <f t="shared" si="5"/>
        <v>-4900</v>
      </c>
    </row>
    <row r="28" spans="1:11" ht="12.75">
      <c r="A28" s="1" t="s">
        <v>19</v>
      </c>
      <c r="B28" s="7">
        <f aca="true" t="shared" si="6" ref="B28:K28">B$22-B$27-B$29</f>
        <v>-3499.999999999971</v>
      </c>
      <c r="C28" s="7">
        <f t="shared" si="6"/>
        <v>-2720.5314009661815</v>
      </c>
      <c r="D28" s="7">
        <f t="shared" si="6"/>
        <v>-2410.375646728247</v>
      </c>
      <c r="E28" s="7">
        <f t="shared" si="6"/>
        <v>-2220.9828369418283</v>
      </c>
      <c r="F28" s="7">
        <f t="shared" si="6"/>
        <v>-2128.9274377276924</v>
      </c>
      <c r="G28" s="7">
        <f t="shared" si="6"/>
        <v>-2073.2623200142298</v>
      </c>
      <c r="H28" s="7">
        <f t="shared" si="6"/>
        <v>-2038.3671563978835</v>
      </c>
      <c r="I28" s="7">
        <f t="shared" si="6"/>
        <v>-2016.4280511034049</v>
      </c>
      <c r="J28" s="7">
        <f t="shared" si="6"/>
        <v>-2003.100704990893</v>
      </c>
      <c r="K28" s="7">
        <f t="shared" si="6"/>
        <v>-1995.7756903517948</v>
      </c>
    </row>
    <row r="29" spans="1:11" ht="13.5" thickBot="1">
      <c r="A29" s="17" t="s">
        <v>15</v>
      </c>
      <c r="B29" s="10">
        <f>-SUM($B$10)/B$26</f>
        <v>-500</v>
      </c>
      <c r="C29" s="10">
        <f>-SUM($B$10:$C$10)/C$26</f>
        <v>-550</v>
      </c>
      <c r="D29" s="10">
        <f>-SUM($B$10:$D$10)/D$26</f>
        <v>-866.6666666666666</v>
      </c>
      <c r="E29" s="10">
        <f>-SUM($B$10:$E$10)/E$26</f>
        <v>-1350</v>
      </c>
      <c r="F29" s="10">
        <f>-SUM($B$10:$F$10)/F$26</f>
        <v>-1640</v>
      </c>
      <c r="G29" s="10">
        <f>-SUM($B$10:$G$10)/G$26</f>
        <v>-1833.3333333333333</v>
      </c>
      <c r="H29" s="10">
        <f>-SUM($B$10:$H$10)/H$26</f>
        <v>-1971.4285714285713</v>
      </c>
      <c r="I29" s="10">
        <f>-SUM($B$10:$I$10)/I$26</f>
        <v>-2075</v>
      </c>
      <c r="J29" s="10">
        <f>-SUM($B$10:$J$10)/J$26</f>
        <v>-2155.5555555555557</v>
      </c>
      <c r="K29" s="10">
        <f>-SUM($B$10:$K$10)/K$26</f>
        <v>-2220</v>
      </c>
    </row>
    <row r="30" spans="1:11" ht="12.75">
      <c r="A30" s="1" t="s">
        <v>16</v>
      </c>
      <c r="B30" s="7">
        <f aca="true" t="shared" si="7" ref="B30:K30">SUM(B27:B29)</f>
        <v>-47499.99999999997</v>
      </c>
      <c r="C30" s="7">
        <f t="shared" si="7"/>
        <v>-26270.53140096618</v>
      </c>
      <c r="D30" s="7">
        <f t="shared" si="7"/>
        <v>-19243.70898006158</v>
      </c>
      <c r="E30" s="7">
        <f t="shared" si="7"/>
        <v>-15820.982836941828</v>
      </c>
      <c r="F30" s="7">
        <f t="shared" si="7"/>
        <v>-13568.927437727692</v>
      </c>
      <c r="G30" s="7">
        <f t="shared" si="7"/>
        <v>-12073.262320014232</v>
      </c>
      <c r="H30" s="7">
        <f t="shared" si="7"/>
        <v>-11009.795727826455</v>
      </c>
      <c r="I30" s="7">
        <f t="shared" si="7"/>
        <v>-10216.428051103405</v>
      </c>
      <c r="J30" s="7">
        <f t="shared" si="7"/>
        <v>-9603.100704990893</v>
      </c>
      <c r="K30" s="7">
        <f t="shared" si="7"/>
        <v>-9115.775690351795</v>
      </c>
    </row>
    <row r="33" spans="1:11" ht="13.5" thickBot="1">
      <c r="A33" s="17" t="s">
        <v>20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3.5" thickBot="1">
      <c r="A34" s="9" t="s">
        <v>21</v>
      </c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</row>
    <row r="35" spans="1:11" ht="12.75">
      <c r="A35" s="1" t="s">
        <v>18</v>
      </c>
      <c r="B35" s="7">
        <f>B$9-$B$6</f>
        <v>-43500</v>
      </c>
      <c r="C35" s="7">
        <f aca="true" t="shared" si="8" ref="C35:K35">C$9-B$9</f>
        <v>-2500</v>
      </c>
      <c r="D35" s="7">
        <f t="shared" si="8"/>
        <v>-1900</v>
      </c>
      <c r="E35" s="7">
        <f t="shared" si="8"/>
        <v>-1100</v>
      </c>
      <c r="F35" s="7">
        <f t="shared" si="8"/>
        <v>0</v>
      </c>
      <c r="G35" s="7">
        <f t="shared" si="8"/>
        <v>0</v>
      </c>
      <c r="H35" s="7">
        <f t="shared" si="8"/>
        <v>0</v>
      </c>
      <c r="I35" s="7">
        <f t="shared" si="8"/>
        <v>0</v>
      </c>
      <c r="J35" s="7">
        <f t="shared" si="8"/>
        <v>0</v>
      </c>
      <c r="K35" s="7">
        <f t="shared" si="8"/>
        <v>0</v>
      </c>
    </row>
    <row r="36" spans="1:11" ht="12.75">
      <c r="A36" s="1" t="s">
        <v>19</v>
      </c>
      <c r="B36" s="7">
        <f>-($B$5/100)*($B$6)</f>
        <v>-3500.0000000000005</v>
      </c>
      <c r="C36" s="7">
        <f aca="true" t="shared" si="9" ref="C36:K36">-($B$5/100)*(B$9+B$10)</f>
        <v>-490.00000000000006</v>
      </c>
      <c r="D36" s="7">
        <f t="shared" si="9"/>
        <v>-322.00000000000006</v>
      </c>
      <c r="E36" s="7">
        <f t="shared" si="9"/>
        <v>-252.00000000000003</v>
      </c>
      <c r="F36" s="7">
        <f t="shared" si="9"/>
        <v>-266</v>
      </c>
      <c r="G36" s="7">
        <f t="shared" si="9"/>
        <v>-266</v>
      </c>
      <c r="H36" s="7">
        <f t="shared" si="9"/>
        <v>-266</v>
      </c>
      <c r="I36" s="7">
        <f t="shared" si="9"/>
        <v>-266</v>
      </c>
      <c r="J36" s="7">
        <f t="shared" si="9"/>
        <v>-266</v>
      </c>
      <c r="K36" s="7">
        <f t="shared" si="9"/>
        <v>-266</v>
      </c>
    </row>
    <row r="37" spans="1:11" ht="13.5" thickBot="1">
      <c r="A37" s="17" t="s">
        <v>15</v>
      </c>
      <c r="B37" s="10">
        <f aca="true" t="shared" si="10" ref="B37:K37">-B$10</f>
        <v>-500</v>
      </c>
      <c r="C37" s="10">
        <f t="shared" si="10"/>
        <v>-600</v>
      </c>
      <c r="D37" s="10">
        <f t="shared" si="10"/>
        <v>-1500</v>
      </c>
      <c r="E37" s="10">
        <f t="shared" si="10"/>
        <v>-2800</v>
      </c>
      <c r="F37" s="10">
        <f t="shared" si="10"/>
        <v>-2800</v>
      </c>
      <c r="G37" s="10">
        <f t="shared" si="10"/>
        <v>-2800</v>
      </c>
      <c r="H37" s="10">
        <f t="shared" si="10"/>
        <v>-2800</v>
      </c>
      <c r="I37" s="10">
        <f t="shared" si="10"/>
        <v>-2800</v>
      </c>
      <c r="J37" s="10">
        <f t="shared" si="10"/>
        <v>-2800</v>
      </c>
      <c r="K37" s="10">
        <f t="shared" si="10"/>
        <v>-2800</v>
      </c>
    </row>
    <row r="38" spans="1:11" ht="12.75">
      <c r="A38" s="1" t="s">
        <v>22</v>
      </c>
      <c r="B38" s="7">
        <f aca="true" t="shared" si="11" ref="B38:K38">SUM(B$35:B$37)</f>
        <v>-47500</v>
      </c>
      <c r="C38" s="7">
        <f t="shared" si="11"/>
        <v>-3590</v>
      </c>
      <c r="D38" s="7">
        <f t="shared" si="11"/>
        <v>-3722</v>
      </c>
      <c r="E38" s="7">
        <f t="shared" si="11"/>
        <v>-4152</v>
      </c>
      <c r="F38" s="7">
        <f t="shared" si="11"/>
        <v>-3066</v>
      </c>
      <c r="G38" s="7">
        <f t="shared" si="11"/>
        <v>-3066</v>
      </c>
      <c r="H38" s="7">
        <f t="shared" si="11"/>
        <v>-3066</v>
      </c>
      <c r="I38" s="7">
        <f t="shared" si="11"/>
        <v>-3066</v>
      </c>
      <c r="J38" s="7">
        <f t="shared" si="11"/>
        <v>-3066</v>
      </c>
      <c r="K38" s="7">
        <f t="shared" si="11"/>
        <v>-3066</v>
      </c>
    </row>
  </sheetData>
  <sheetProtection/>
  <printOptions/>
  <pageMargins left="1" right="1" top="1" bottom="1" header="0.5" footer="0.5"/>
  <pageSetup fitToHeight="1" fitToWidth="1" horizontalDpi="300" verticalDpi="300" orientation="landscape" scale="93" r:id="rId1"/>
  <headerFooter alignWithMargins="0">
    <oddFooter xml:space="preserve">&amp;R&amp;"Arial,Regular"&amp;8&amp;F Revised 9/6/2010
Dairy Management at Virginia Tech
McGilliard and Pecsok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7.375" style="3" customWidth="1"/>
    <col min="2" max="11" width="7.75390625" style="3" customWidth="1"/>
    <col min="12" max="16384" width="9.00390625" style="3" customWidth="1"/>
  </cols>
  <sheetData>
    <row r="1" s="19" customFormat="1" ht="15">
      <c r="A1" s="19" t="s">
        <v>23</v>
      </c>
    </row>
    <row r="2" spans="1:11" ht="12.75">
      <c r="A2" s="3" t="str">
        <f>'Annual Cost (to 10 yrs)'!A26</f>
        <v>THROUGH YEAR:</v>
      </c>
      <c r="B2" s="3">
        <f>'Annual Cost (to 10 yrs)'!B26</f>
        <v>1</v>
      </c>
      <c r="C2" s="3">
        <f>'Annual Cost (to 10 yrs)'!C26</f>
        <v>2</v>
      </c>
      <c r="D2" s="3">
        <f>'Annual Cost (to 10 yrs)'!D26</f>
        <v>3</v>
      </c>
      <c r="E2" s="3">
        <f>'Annual Cost (to 10 yrs)'!E26</f>
        <v>4</v>
      </c>
      <c r="F2" s="3">
        <f>'Annual Cost (to 10 yrs)'!F26</f>
        <v>5</v>
      </c>
      <c r="G2" s="3">
        <f>'Annual Cost (to 10 yrs)'!G26</f>
        <v>6</v>
      </c>
      <c r="H2" s="3">
        <f>'Annual Cost (to 10 yrs)'!H26</f>
        <v>7</v>
      </c>
      <c r="I2" s="3">
        <f>'Annual Cost (to 10 yrs)'!I26</f>
        <v>8</v>
      </c>
      <c r="J2" s="3">
        <f>'Annual Cost (to 10 yrs)'!J26</f>
        <v>9</v>
      </c>
      <c r="K2" s="3">
        <f>'Annual Cost (to 10 yrs)'!K26</f>
        <v>10</v>
      </c>
    </row>
    <row r="3" spans="1:11" ht="12.75">
      <c r="A3" s="3" t="str">
        <f>'Annual Cost (to 10 yrs)'!A27</f>
        <v>DEPRECIATION</v>
      </c>
      <c r="B3" s="18">
        <f>-'Annual Cost (to 10 yrs)'!B27</f>
        <v>43500</v>
      </c>
      <c r="C3" s="18">
        <f>-'Annual Cost (to 10 yrs)'!C27</f>
        <v>23000</v>
      </c>
      <c r="D3" s="18">
        <f>-'Annual Cost (to 10 yrs)'!D27</f>
        <v>15966.666666666666</v>
      </c>
      <c r="E3" s="18">
        <f>-'Annual Cost (to 10 yrs)'!E27</f>
        <v>12250</v>
      </c>
      <c r="F3" s="18">
        <f>-'Annual Cost (to 10 yrs)'!F27</f>
        <v>9800</v>
      </c>
      <c r="G3" s="18">
        <f>-'Annual Cost (to 10 yrs)'!G27</f>
        <v>8166.666666666667</v>
      </c>
      <c r="H3" s="18">
        <f>-'Annual Cost (to 10 yrs)'!H27</f>
        <v>7000</v>
      </c>
      <c r="I3" s="18">
        <f>-'Annual Cost (to 10 yrs)'!I27</f>
        <v>6125</v>
      </c>
      <c r="J3" s="18">
        <f>-'Annual Cost (to 10 yrs)'!J27</f>
        <v>5444.444444444444</v>
      </c>
      <c r="K3" s="18">
        <f>-'Annual Cost (to 10 yrs)'!K27</f>
        <v>4900</v>
      </c>
    </row>
    <row r="4" spans="1:11" ht="12.75">
      <c r="A4" s="3" t="str">
        <f>'Annual Cost (to 10 yrs)'!A28</f>
        <v>INTEREST</v>
      </c>
      <c r="B4" s="18">
        <f>-'Annual Cost (to 10 yrs)'!B28</f>
        <v>3499.999999999971</v>
      </c>
      <c r="C4" s="18">
        <f>-'Annual Cost (to 10 yrs)'!C28</f>
        <v>2720.5314009661815</v>
      </c>
      <c r="D4" s="18">
        <f>-'Annual Cost (to 10 yrs)'!D28</f>
        <v>2410.375646728247</v>
      </c>
      <c r="E4" s="18">
        <f>-'Annual Cost (to 10 yrs)'!E28</f>
        <v>2220.9828369418283</v>
      </c>
      <c r="F4" s="18">
        <f>-'Annual Cost (to 10 yrs)'!F28</f>
        <v>2128.9274377276924</v>
      </c>
      <c r="G4" s="18">
        <f>-'Annual Cost (to 10 yrs)'!G28</f>
        <v>2073.2623200142298</v>
      </c>
      <c r="H4" s="18">
        <f>-'Annual Cost (to 10 yrs)'!H28</f>
        <v>2038.3671563978835</v>
      </c>
      <c r="I4" s="18">
        <f>-'Annual Cost (to 10 yrs)'!I28</f>
        <v>2016.4280511034049</v>
      </c>
      <c r="J4" s="18">
        <f>-'Annual Cost (to 10 yrs)'!J28</f>
        <v>2003.100704990893</v>
      </c>
      <c r="K4" s="18">
        <f>-'Annual Cost (to 10 yrs)'!K28</f>
        <v>1995.7756903517948</v>
      </c>
    </row>
    <row r="5" spans="1:11" ht="12.75">
      <c r="A5" s="3" t="str">
        <f>'Annual Cost (to 10 yrs)'!A29</f>
        <v>OPERATE, REPAIRS</v>
      </c>
      <c r="B5" s="18">
        <f>-'Annual Cost (to 10 yrs)'!B29</f>
        <v>500</v>
      </c>
      <c r="C5" s="18">
        <f>-'Annual Cost (to 10 yrs)'!C29</f>
        <v>550</v>
      </c>
      <c r="D5" s="18">
        <f>-'Annual Cost (to 10 yrs)'!D29</f>
        <v>866.6666666666666</v>
      </c>
      <c r="E5" s="18">
        <f>-'Annual Cost (to 10 yrs)'!E29</f>
        <v>1350</v>
      </c>
      <c r="F5" s="18">
        <f>-'Annual Cost (to 10 yrs)'!F29</f>
        <v>1640</v>
      </c>
      <c r="G5" s="18">
        <f>-'Annual Cost (to 10 yrs)'!G29</f>
        <v>1833.3333333333333</v>
      </c>
      <c r="H5" s="18">
        <f>-'Annual Cost (to 10 yrs)'!H29</f>
        <v>1971.4285714285713</v>
      </c>
      <c r="I5" s="18">
        <f>-'Annual Cost (to 10 yrs)'!I29</f>
        <v>2075</v>
      </c>
      <c r="J5" s="18">
        <f>-'Annual Cost (to 10 yrs)'!J29</f>
        <v>2155.5555555555557</v>
      </c>
      <c r="K5" s="18">
        <f>-'Annual Cost (to 10 yrs)'!K29</f>
        <v>2220</v>
      </c>
    </row>
    <row r="6" spans="1:11" ht="12.75">
      <c r="A6" s="3" t="str">
        <f>'Annual Cost (to 10 yrs)'!A30</f>
        <v>TOTAL PER YEAR:</v>
      </c>
      <c r="B6" s="18">
        <f>-'Annual Cost (to 10 yrs)'!B30</f>
        <v>47499.99999999997</v>
      </c>
      <c r="C6" s="18">
        <f>-'Annual Cost (to 10 yrs)'!C30</f>
        <v>26270.53140096618</v>
      </c>
      <c r="D6" s="18">
        <f>-'Annual Cost (to 10 yrs)'!D30</f>
        <v>19243.70898006158</v>
      </c>
      <c r="E6" s="18">
        <f>-'Annual Cost (to 10 yrs)'!E30</f>
        <v>15820.982836941828</v>
      </c>
      <c r="F6" s="18">
        <f>-'Annual Cost (to 10 yrs)'!F30</f>
        <v>13568.927437727692</v>
      </c>
      <c r="G6" s="18">
        <f>-'Annual Cost (to 10 yrs)'!G30</f>
        <v>12073.262320014232</v>
      </c>
      <c r="H6" s="18">
        <f>-'Annual Cost (to 10 yrs)'!H30</f>
        <v>11009.795727826455</v>
      </c>
      <c r="I6" s="18">
        <f>-'Annual Cost (to 10 yrs)'!I30</f>
        <v>10216.428051103405</v>
      </c>
      <c r="J6" s="18">
        <f>-'Annual Cost (to 10 yrs)'!J30</f>
        <v>9603.100704990893</v>
      </c>
      <c r="K6" s="18">
        <f>-'Annual Cost (to 10 yrs)'!K30</f>
        <v>9115.775690351795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A1">
      <selection activeCell="B4" sqref="B4"/>
    </sheetView>
  </sheetViews>
  <sheetFormatPr defaultColWidth="9.625" defaultRowHeight="12.75"/>
  <cols>
    <col min="1" max="1" width="17.625" style="3" customWidth="1"/>
    <col min="2" max="2" width="11.625" style="3" customWidth="1"/>
    <col min="3" max="11" width="9.625" style="3" customWidth="1"/>
    <col min="12" max="16384" width="9.625" style="3" customWidth="1"/>
  </cols>
  <sheetData>
    <row r="1" spans="1:7" s="16" customFormat="1" ht="17.25">
      <c r="A1" s="14" t="s">
        <v>24</v>
      </c>
      <c r="B1" s="15"/>
      <c r="G1" s="15"/>
    </row>
    <row r="2" spans="6:10" ht="12.75">
      <c r="F2" s="2"/>
      <c r="I2"/>
      <c r="J2" s="3" t="s">
        <v>1</v>
      </c>
    </row>
    <row r="4" spans="1:2" ht="12.75">
      <c r="A4" s="1" t="s">
        <v>2</v>
      </c>
      <c r="B4" s="20" t="s">
        <v>25</v>
      </c>
    </row>
    <row r="5" spans="1:4" ht="12.75">
      <c r="A5" s="1" t="s">
        <v>4</v>
      </c>
      <c r="B5" s="5">
        <v>7</v>
      </c>
      <c r="D5" s="2"/>
    </row>
    <row r="6" spans="1:2" ht="12.75">
      <c r="A6" s="1" t="s">
        <v>5</v>
      </c>
      <c r="B6" s="6">
        <v>100000</v>
      </c>
    </row>
    <row r="7" spans="1:16" ht="13.5" thickBot="1">
      <c r="A7" s="11"/>
      <c r="B7" s="11"/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  <c r="L7" s="12" t="s">
        <v>6</v>
      </c>
      <c r="M7" s="12" t="s">
        <v>6</v>
      </c>
      <c r="N7" s="12" t="s">
        <v>6</v>
      </c>
      <c r="O7" s="12" t="s">
        <v>6</v>
      </c>
      <c r="P7" s="12" t="s">
        <v>6</v>
      </c>
    </row>
    <row r="8" spans="1:16" ht="13.5" thickBot="1">
      <c r="A8" s="9" t="s">
        <v>7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</row>
    <row r="9" spans="1:16" ht="12.75">
      <c r="A9" s="2" t="s">
        <v>8</v>
      </c>
      <c r="B9" s="6">
        <f aca="true" t="shared" si="0" ref="B9:P9">$B$6*(1-2/15)^B8</f>
        <v>86666.66666666667</v>
      </c>
      <c r="C9" s="6">
        <f t="shared" si="0"/>
        <v>75111.11111111112</v>
      </c>
      <c r="D9" s="6">
        <f t="shared" si="0"/>
        <v>65096.29629629631</v>
      </c>
      <c r="E9" s="6">
        <f t="shared" si="0"/>
        <v>56416.7901234568</v>
      </c>
      <c r="F9" s="6">
        <f t="shared" si="0"/>
        <v>48894.551440329225</v>
      </c>
      <c r="G9" s="6">
        <f t="shared" si="0"/>
        <v>42375.277914952</v>
      </c>
      <c r="H9" s="6">
        <f t="shared" si="0"/>
        <v>36725.24085962507</v>
      </c>
      <c r="I9" s="6">
        <f t="shared" si="0"/>
        <v>31828.54207834172</v>
      </c>
      <c r="J9" s="6">
        <f t="shared" si="0"/>
        <v>27584.73646789616</v>
      </c>
      <c r="K9" s="6">
        <f t="shared" si="0"/>
        <v>23906.771605510006</v>
      </c>
      <c r="L9" s="6">
        <f t="shared" si="0"/>
        <v>20719.202058108673</v>
      </c>
      <c r="M9" s="6">
        <f t="shared" si="0"/>
        <v>17956.641783694184</v>
      </c>
      <c r="N9" s="6">
        <f t="shared" si="0"/>
        <v>15562.422879201626</v>
      </c>
      <c r="O9" s="6">
        <f t="shared" si="0"/>
        <v>13487.433161974743</v>
      </c>
      <c r="P9" s="6">
        <f t="shared" si="0"/>
        <v>11689.108740378111</v>
      </c>
    </row>
    <row r="10" spans="1:16" ht="13.5" thickBot="1">
      <c r="A10" s="9" t="s">
        <v>9</v>
      </c>
      <c r="B10" s="13">
        <f aca="true" t="shared" si="1" ref="B10:P10">0.065*$B$6</f>
        <v>6500</v>
      </c>
      <c r="C10" s="13">
        <f t="shared" si="1"/>
        <v>6500</v>
      </c>
      <c r="D10" s="13">
        <f t="shared" si="1"/>
        <v>6500</v>
      </c>
      <c r="E10" s="13">
        <f t="shared" si="1"/>
        <v>6500</v>
      </c>
      <c r="F10" s="13">
        <f t="shared" si="1"/>
        <v>6500</v>
      </c>
      <c r="G10" s="13">
        <f t="shared" si="1"/>
        <v>6500</v>
      </c>
      <c r="H10" s="13">
        <f t="shared" si="1"/>
        <v>6500</v>
      </c>
      <c r="I10" s="13">
        <f t="shared" si="1"/>
        <v>6500</v>
      </c>
      <c r="J10" s="13">
        <f t="shared" si="1"/>
        <v>6500</v>
      </c>
      <c r="K10" s="13">
        <f t="shared" si="1"/>
        <v>6500</v>
      </c>
      <c r="L10" s="13">
        <f t="shared" si="1"/>
        <v>6500</v>
      </c>
      <c r="M10" s="13">
        <f t="shared" si="1"/>
        <v>6500</v>
      </c>
      <c r="N10" s="13">
        <f t="shared" si="1"/>
        <v>6500</v>
      </c>
      <c r="O10" s="13">
        <f t="shared" si="1"/>
        <v>6500</v>
      </c>
      <c r="P10" s="13">
        <f t="shared" si="1"/>
        <v>6500</v>
      </c>
    </row>
    <row r="11" spans="1:5" ht="12.75">
      <c r="A11" s="1" t="s">
        <v>10</v>
      </c>
      <c r="E11" s="4"/>
    </row>
    <row r="13" spans="2:16" ht="12.75">
      <c r="B13" s="8">
        <f>$B$6*($B$9/100)*(-1)</f>
        <v>-86666666.66666667</v>
      </c>
      <c r="C13" s="8">
        <f>B6*(C9/100)*(-1)</f>
        <v>-75111111.11111112</v>
      </c>
      <c r="D13" s="8">
        <f>B6*(D9/100)*(-1)</f>
        <v>-65096296.296296306</v>
      </c>
      <c r="E13" s="8">
        <f>B6*(E9/100)*(-1)</f>
        <v>-56416790.123456806</v>
      </c>
      <c r="F13" s="8">
        <f>B6*(F9/100)*(-1)</f>
        <v>-48894551.440329224</v>
      </c>
      <c r="G13" s="8">
        <f>B6*(G9/100)*(-1)</f>
        <v>-42375277.914952</v>
      </c>
      <c r="H13" s="8">
        <f>B6*(H9/100)*(-1)</f>
        <v>-36725240.85962507</v>
      </c>
      <c r="I13" s="8">
        <f>B6*(I9/100)*(-1)</f>
        <v>-31828542.078341722</v>
      </c>
      <c r="J13" s="8">
        <f>B6*(J9/100)*(-1)</f>
        <v>-27584736.46789616</v>
      </c>
      <c r="K13" s="8">
        <f aca="true" t="shared" si="2" ref="K13:P13">B6*(K9/100)*(-1)</f>
        <v>-23906771.605510004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</row>
    <row r="14" spans="2:16" ht="12.75">
      <c r="B14" s="8">
        <f aca="true" t="shared" si="3" ref="B14:P14">B$9*((1+$B$5/100)^-B$18)</f>
        <v>80996.88473520249</v>
      </c>
      <c r="C14" s="8">
        <f t="shared" si="3"/>
        <v>65604.95336807679</v>
      </c>
      <c r="D14" s="8">
        <f t="shared" si="3"/>
        <v>53137.9684601245</v>
      </c>
      <c r="E14" s="8">
        <f t="shared" si="3"/>
        <v>43040.0990642753</v>
      </c>
      <c r="F14" s="8">
        <f t="shared" si="3"/>
        <v>34861.13942900803</v>
      </c>
      <c r="G14" s="8">
        <f t="shared" si="3"/>
        <v>28236.436920691867</v>
      </c>
      <c r="H14" s="8">
        <f t="shared" si="3"/>
        <v>22870.63426598095</v>
      </c>
      <c r="I14" s="8">
        <f t="shared" si="3"/>
        <v>18524.501274626313</v>
      </c>
      <c r="J14" s="8">
        <f t="shared" si="3"/>
        <v>15004.268945180193</v>
      </c>
      <c r="K14" s="8">
        <f t="shared" si="3"/>
        <v>12152.990422887382</v>
      </c>
      <c r="L14" s="8">
        <f t="shared" si="3"/>
        <v>9843.543644706291</v>
      </c>
      <c r="M14" s="8">
        <f t="shared" si="3"/>
        <v>7972.9636997621055</v>
      </c>
      <c r="N14" s="8">
        <f t="shared" si="3"/>
        <v>6457.8522178758485</v>
      </c>
      <c r="O14" s="8">
        <f t="shared" si="3"/>
        <v>5230.659117282619</v>
      </c>
      <c r="P14" s="8">
        <f t="shared" si="3"/>
        <v>4236.670936116763</v>
      </c>
    </row>
    <row r="16" spans="2:16" ht="12.75">
      <c r="B16" s="8">
        <f aca="true" t="shared" si="4" ref="B16:P16">B$10*((1+$B$5/100)^-B$18)*(-1)</f>
        <v>-6074.7663551401865</v>
      </c>
      <c r="C16" s="8">
        <f t="shared" si="4"/>
        <v>-5677.351733775875</v>
      </c>
      <c r="D16" s="8">
        <f t="shared" si="4"/>
        <v>-5305.936199790537</v>
      </c>
      <c r="E16" s="8">
        <f t="shared" si="4"/>
        <v>-4958.818878308914</v>
      </c>
      <c r="F16" s="8">
        <f t="shared" si="4"/>
        <v>-4634.410166643845</v>
      </c>
      <c r="G16" s="8">
        <f t="shared" si="4"/>
        <v>-4331.224454807331</v>
      </c>
      <c r="H16" s="8">
        <f t="shared" si="4"/>
        <v>-4047.873322249842</v>
      </c>
      <c r="I16" s="8">
        <f t="shared" si="4"/>
        <v>-3783.0591796727495</v>
      </c>
      <c r="J16" s="8">
        <f t="shared" si="4"/>
        <v>-3535.5693267969623</v>
      </c>
      <c r="K16" s="8">
        <f t="shared" si="4"/>
        <v>-3304.2703988756657</v>
      </c>
      <c r="L16" s="8">
        <f t="shared" si="4"/>
        <v>-3088.1031765193134</v>
      </c>
      <c r="M16" s="8">
        <f t="shared" si="4"/>
        <v>-2886.0777350647795</v>
      </c>
      <c r="N16" s="8">
        <f t="shared" si="4"/>
        <v>-2697.2689112754942</v>
      </c>
      <c r="O16" s="8">
        <f t="shared" si="4"/>
        <v>-2520.812066612612</v>
      </c>
      <c r="P16" s="8">
        <f t="shared" si="4"/>
        <v>-2355.8991276753377</v>
      </c>
    </row>
    <row r="17" spans="1:16" ht="13.5" thickBot="1">
      <c r="A17" s="17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3.5" thickBot="1">
      <c r="A18" s="9" t="s">
        <v>12</v>
      </c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  <c r="L18" s="10">
        <v>11</v>
      </c>
      <c r="M18" s="10">
        <v>12</v>
      </c>
      <c r="N18" s="10">
        <v>13</v>
      </c>
      <c r="O18" s="10">
        <v>14</v>
      </c>
      <c r="P18" s="10">
        <v>15</v>
      </c>
    </row>
    <row r="19" spans="1:16" ht="12.75">
      <c r="A19" s="1" t="s">
        <v>13</v>
      </c>
      <c r="B19" s="7">
        <f aca="true" t="shared" si="5" ref="B19:P19">IF($B$5=0,-$B$6/B$18,$B$6*($B$5/100)*((1+$B$5/100)^B$18)*((((1+$B$5/100)^B$18)-1)^-1)*(-1))</f>
        <v>-106999.99999999993</v>
      </c>
      <c r="C19" s="7">
        <f t="shared" si="5"/>
        <v>-55309.17874396135</v>
      </c>
      <c r="D19" s="7">
        <f t="shared" si="5"/>
        <v>-38105.16656816696</v>
      </c>
      <c r="E19" s="7">
        <f t="shared" si="5"/>
        <v>-29522.811666726357</v>
      </c>
      <c r="F19" s="7">
        <f t="shared" si="5"/>
        <v>-24389.069444137403</v>
      </c>
      <c r="G19" s="7">
        <f t="shared" si="5"/>
        <v>-20979.579975832814</v>
      </c>
      <c r="H19" s="7">
        <f t="shared" si="5"/>
        <v>-18555.321963115934</v>
      </c>
      <c r="I19" s="7">
        <f t="shared" si="5"/>
        <v>-16746.776249075465</v>
      </c>
      <c r="J19" s="7">
        <f t="shared" si="5"/>
        <v>-15348.64701384219</v>
      </c>
      <c r="K19" s="7">
        <f t="shared" si="5"/>
        <v>-14237.750272736472</v>
      </c>
      <c r="L19" s="7">
        <f t="shared" si="5"/>
        <v>-13335.690483624487</v>
      </c>
      <c r="M19" s="7">
        <f t="shared" si="5"/>
        <v>-12590.198865502047</v>
      </c>
      <c r="N19" s="7">
        <f t="shared" si="5"/>
        <v>-11965.084813625726</v>
      </c>
      <c r="O19" s="7">
        <f t="shared" si="5"/>
        <v>-11434.493861984281</v>
      </c>
      <c r="P19" s="7">
        <f t="shared" si="5"/>
        <v>-10979.462470100652</v>
      </c>
    </row>
    <row r="20" spans="1:16" ht="12.75">
      <c r="A20" s="1" t="s">
        <v>14</v>
      </c>
      <c r="B20" s="7">
        <f aca="true" t="shared" si="6" ref="B20:P20">IF($B$5=0,B$9/B$18,B$14*($B$5/100)*((1+$B$5/100)^B$18)*((((1+$B$5/100)^B$18)-1)^-1))</f>
        <v>86666.66666666658</v>
      </c>
      <c r="C20" s="7">
        <f t="shared" si="6"/>
        <v>36285.56092324208</v>
      </c>
      <c r="D20" s="7">
        <f t="shared" si="6"/>
        <v>20248.311392670465</v>
      </c>
      <c r="E20" s="7">
        <f t="shared" si="6"/>
        <v>12706.647387918449</v>
      </c>
      <c r="F20" s="7">
        <f t="shared" si="6"/>
        <v>8502.307504358332</v>
      </c>
      <c r="G20" s="7">
        <f t="shared" si="6"/>
        <v>5923.885866102135</v>
      </c>
      <c r="H20" s="7">
        <f t="shared" si="6"/>
        <v>4243.719823059481</v>
      </c>
      <c r="I20" s="7">
        <f t="shared" si="6"/>
        <v>3102.2567797188008</v>
      </c>
      <c r="J20" s="7">
        <f t="shared" si="6"/>
        <v>2302.9522774032507</v>
      </c>
      <c r="K20" s="7">
        <f t="shared" si="6"/>
        <v>1730.3124270802855</v>
      </c>
      <c r="L20" s="7">
        <f t="shared" si="6"/>
        <v>1312.7045130785195</v>
      </c>
      <c r="M20" s="7">
        <f t="shared" si="6"/>
        <v>1003.8119852743386</v>
      </c>
      <c r="N20" s="7">
        <f t="shared" si="6"/>
        <v>772.6874950074553</v>
      </c>
      <c r="O20" s="7">
        <f t="shared" si="6"/>
        <v>598.0993957070023</v>
      </c>
      <c r="P20" s="7">
        <f t="shared" si="6"/>
        <v>465.163695412602</v>
      </c>
    </row>
    <row r="21" spans="1:16" ht="13.5" thickBot="1">
      <c r="A21" s="17" t="s">
        <v>15</v>
      </c>
      <c r="B21" s="10">
        <f>IF($B$5=0,SUM($B$16)/B$18,SUM($B$16)*($B$5/100)*((1+$B$5/100)^B$18)*((((1+$B$5/100)^B$18)-1)^-1))</f>
        <v>-6499.9999999999945</v>
      </c>
      <c r="C21" s="10">
        <f>IF($B$5=0,SUM($B$16:C$16)/C$18,SUM($B$16:C$16)*($B$5/100)*((1+$B$5/100)^C$18)*((((1+$B$5/100)^C$18)-1)^-1))</f>
        <v>-6499.999999999998</v>
      </c>
      <c r="D21" s="10">
        <f>IF($B$5=0,SUM($B$16:D$16)/D$18,SUM($B$16:D$16)*($B$5/100)*((1+$B$5/100)^D$18)*((((1+$B$5/100)^D$18)-1)^-1))</f>
        <v>-6499.999999999997</v>
      </c>
      <c r="E21" s="10">
        <f>IF($B$5=0,SUM($B$16:E$16)/E$18,SUM($B$16:E$16)*($B$5/100)*((1+$B$5/100)^E$18)*((((1+$B$5/100)^E$18)-1)^-1))</f>
        <v>-6499.999999999998</v>
      </c>
      <c r="F21" s="10">
        <f>IF($B$5=0,SUM($B$16:F$16)/F$18,SUM($B$16:F$16)*($B$5/100)*((1+$B$5/100)^F$18)*((((1+$B$5/100)^F$18)-1)^-1))</f>
        <v>-6499.999999999997</v>
      </c>
      <c r="G21" s="10">
        <f>IF($B$5=0,SUM($B$16:G$16)/G$18,SUM($B$16:G$16)*($B$5/100)*((1+$B$5/100)^G$18)*((((1+$B$5/100)^G$18)-1)^-1))</f>
        <v>-6499.999999999998</v>
      </c>
      <c r="H21" s="10">
        <f>IF($B$5=0,SUM($B$16:H$16)/H$18,SUM($B$16:H$16)*($B$5/100)*((1+$B$5/100)^H$18)*((((1+$B$5/100)^H$18)-1)^-1))</f>
        <v>-6499.999999999999</v>
      </c>
      <c r="I21" s="10">
        <f>IF($B$5=0,SUM($B$16:I$16)/I$18,SUM($B$16:I$16)*($B$5/100)*((1+$B$5/100)^I$18)*((((1+$B$5/100)^I$18)-1)^-1))</f>
        <v>-6499.999999999998</v>
      </c>
      <c r="J21" s="10">
        <f>IF($B$5=0,SUM($B$16:J$16)/J$18,SUM($B$16:J$16)*($B$5/100)*((1+$B$5/100)^J$18)*((((1+$B$5/100)^J$18)-1)^-1))</f>
        <v>-6499.999999999997</v>
      </c>
      <c r="K21" s="10">
        <f>IF($B$5=0,SUM($B$16:K$16)/K$18,SUM($B$16:K$16)*($B$5/100)*((1+$B$5/100)^K$18)*((((1+$B$5/100)^K$18)-1)^-1))</f>
        <v>-6499.999999999999</v>
      </c>
      <c r="L21" s="10">
        <f>IF($B$5=0,SUM($B$16:L$16)/L$18,SUM($B$16:L$16)*($B$5/100)*((1+$B$5/100)^L$18)*((((1+$B$5/100)^L$18)-1)^-1))</f>
        <v>-6499.999999999998</v>
      </c>
      <c r="M21" s="10">
        <f>IF($B$5=0,SUM($B$16:M$16)/M$18,SUM($B$16:M$16)*($B$5/100)*((1+$B$5/100)^M$18)*((((1+$B$5/100)^M$18)-1)^-1))</f>
        <v>-6499.999999999999</v>
      </c>
      <c r="N21" s="10">
        <f>IF($B$5=0,SUM($B$16:N$16)/N$18,SUM($B$16:N$16)*($B$5/100)*((1+$B$5/100)^N$18)*((((1+$B$5/100)^N$18)-1)^-1))</f>
        <v>-6499.999999999998</v>
      </c>
      <c r="O21" s="10">
        <f>IF($B$5=0,SUM($B$16:O$16)/O$18,SUM($B$16:O$16)*($B$5/100)*((1+$B$5/100)^O$18)*((((1+$B$5/100)^O$18)-1)^-1))</f>
        <v>-6499.999999999999</v>
      </c>
      <c r="P21" s="10">
        <f>IF($B$5=0,SUM($B$16:P$16)/P$18,SUM($B$16:P$16)*($B$5/100)*((1+$B$5/100)^P$18)*((((1+$B$5/100)^P$18)-1)^-1))</f>
        <v>-6500</v>
      </c>
    </row>
    <row r="22" spans="1:16" ht="12.75">
      <c r="A22" s="1" t="s">
        <v>16</v>
      </c>
      <c r="B22" s="7">
        <f aca="true" t="shared" si="7" ref="B22:P22">SUM(B19:B21)</f>
        <v>-26833.333333333336</v>
      </c>
      <c r="C22" s="7">
        <f t="shared" si="7"/>
        <v>-25523.617820719264</v>
      </c>
      <c r="D22" s="7">
        <f t="shared" si="7"/>
        <v>-24356.855175496494</v>
      </c>
      <c r="E22" s="7">
        <f t="shared" si="7"/>
        <v>-23316.164278807904</v>
      </c>
      <c r="F22" s="7">
        <f t="shared" si="7"/>
        <v>-22386.76193977907</v>
      </c>
      <c r="G22" s="7">
        <f t="shared" si="7"/>
        <v>-21555.694109730677</v>
      </c>
      <c r="H22" s="7">
        <f t="shared" si="7"/>
        <v>-20811.602140056453</v>
      </c>
      <c r="I22" s="7">
        <f t="shared" si="7"/>
        <v>-20144.519469356663</v>
      </c>
      <c r="J22" s="7">
        <f t="shared" si="7"/>
        <v>-19545.694736438938</v>
      </c>
      <c r="K22" s="7">
        <f t="shared" si="7"/>
        <v>-19007.437845656186</v>
      </c>
      <c r="L22" s="7">
        <f t="shared" si="7"/>
        <v>-18522.985970545968</v>
      </c>
      <c r="M22" s="7">
        <f t="shared" si="7"/>
        <v>-18086.386880227707</v>
      </c>
      <c r="N22" s="7">
        <f t="shared" si="7"/>
        <v>-17692.39731861827</v>
      </c>
      <c r="O22" s="7">
        <f t="shared" si="7"/>
        <v>-17336.394466277277</v>
      </c>
      <c r="P22" s="7">
        <f t="shared" si="7"/>
        <v>-17014.29877468805</v>
      </c>
    </row>
    <row r="25" spans="1:16" ht="13.5" thickBot="1">
      <c r="A25" s="17" t="s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3.5" thickBot="1">
      <c r="A26" s="9" t="s">
        <v>12</v>
      </c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  <c r="L26" s="10">
        <v>11</v>
      </c>
      <c r="M26" s="10">
        <v>12</v>
      </c>
      <c r="N26" s="10">
        <v>13</v>
      </c>
      <c r="O26" s="10">
        <v>14</v>
      </c>
      <c r="P26" s="10">
        <v>15</v>
      </c>
    </row>
    <row r="27" spans="1:16" ht="12.75">
      <c r="A27" s="1" t="s">
        <v>18</v>
      </c>
      <c r="B27" s="7">
        <f aca="true" t="shared" si="8" ref="B27:P27">(B$9-$B$6)/B$26</f>
        <v>-13333.333333333328</v>
      </c>
      <c r="C27" s="7">
        <f t="shared" si="8"/>
        <v>-12444.444444444438</v>
      </c>
      <c r="D27" s="7">
        <f t="shared" si="8"/>
        <v>-11634.567901234564</v>
      </c>
      <c r="E27" s="7">
        <f t="shared" si="8"/>
        <v>-10895.8024691358</v>
      </c>
      <c r="F27" s="7">
        <f t="shared" si="8"/>
        <v>-10221.089711934155</v>
      </c>
      <c r="G27" s="7">
        <f t="shared" si="8"/>
        <v>-9604.120347508</v>
      </c>
      <c r="H27" s="7">
        <f t="shared" si="8"/>
        <v>-9039.251305767848</v>
      </c>
      <c r="I27" s="7">
        <f t="shared" si="8"/>
        <v>-8521.432240207285</v>
      </c>
      <c r="J27" s="7">
        <f t="shared" si="8"/>
        <v>-8046.140392455982</v>
      </c>
      <c r="K27" s="7">
        <f t="shared" si="8"/>
        <v>-7609.322839449</v>
      </c>
      <c r="L27" s="7">
        <f t="shared" si="8"/>
        <v>-7207.345267444666</v>
      </c>
      <c r="M27" s="7">
        <f t="shared" si="8"/>
        <v>-6836.946518025485</v>
      </c>
      <c r="N27" s="7">
        <f t="shared" si="8"/>
        <v>-6495.198240061413</v>
      </c>
      <c r="O27" s="7">
        <f t="shared" si="8"/>
        <v>-6179.469059858947</v>
      </c>
      <c r="P27" s="7">
        <f t="shared" si="8"/>
        <v>-5887.392750641459</v>
      </c>
    </row>
    <row r="28" spans="1:16" ht="12.75">
      <c r="A28" s="1" t="s">
        <v>19</v>
      </c>
      <c r="B28" s="7">
        <f aca="true" t="shared" si="9" ref="B28:P28">B$22-B$27-B$29</f>
        <v>-7000.000000000007</v>
      </c>
      <c r="C28" s="7">
        <f t="shared" si="9"/>
        <v>-6579.173376274826</v>
      </c>
      <c r="D28" s="7">
        <f t="shared" si="9"/>
        <v>-6222.287274261929</v>
      </c>
      <c r="E28" s="7">
        <f t="shared" si="9"/>
        <v>-5920.361809672104</v>
      </c>
      <c r="F28" s="7">
        <f t="shared" si="9"/>
        <v>-5665.672227844914</v>
      </c>
      <c r="G28" s="7">
        <f t="shared" si="9"/>
        <v>-5451.573762222677</v>
      </c>
      <c r="H28" s="7">
        <f t="shared" si="9"/>
        <v>-5272.350834288605</v>
      </c>
      <c r="I28" s="7">
        <f t="shared" si="9"/>
        <v>-5123.087229149378</v>
      </c>
      <c r="J28" s="7">
        <f t="shared" si="9"/>
        <v>-4999.554343982956</v>
      </c>
      <c r="K28" s="7">
        <f t="shared" si="9"/>
        <v>-4898.1150062071865</v>
      </c>
      <c r="L28" s="7">
        <f t="shared" si="9"/>
        <v>-4815.6407031013005</v>
      </c>
      <c r="M28" s="7">
        <f t="shared" si="9"/>
        <v>-4749.440362202222</v>
      </c>
      <c r="N28" s="7">
        <f t="shared" si="9"/>
        <v>-4697.199078556856</v>
      </c>
      <c r="O28" s="7">
        <f t="shared" si="9"/>
        <v>-4656.92540641833</v>
      </c>
      <c r="P28" s="7">
        <f t="shared" si="9"/>
        <v>-4626.9060240465915</v>
      </c>
    </row>
    <row r="29" spans="1:16" ht="13.5" thickBot="1">
      <c r="A29" s="17" t="s">
        <v>15</v>
      </c>
      <c r="B29" s="10">
        <f>-SUM($B$10)/B$26</f>
        <v>-6500</v>
      </c>
      <c r="C29" s="10">
        <f>-SUM($B$10:C$10)/C$26</f>
        <v>-6500</v>
      </c>
      <c r="D29" s="10">
        <f>-SUM($B$10:D$10)/D$26</f>
        <v>-6500</v>
      </c>
      <c r="E29" s="10">
        <f>-SUM($B$10:E$10)/E$26</f>
        <v>-6500</v>
      </c>
      <c r="F29" s="10">
        <f>-SUM($B$10:F$10)/F$26</f>
        <v>-6500</v>
      </c>
      <c r="G29" s="10">
        <f>-SUM($B$10:G$10)/G$26</f>
        <v>-6500</v>
      </c>
      <c r="H29" s="10">
        <f>-SUM($B$10:H$10)/H$26</f>
        <v>-6500</v>
      </c>
      <c r="I29" s="10">
        <f>-SUM($B$10:I$10)/I$26</f>
        <v>-6500</v>
      </c>
      <c r="J29" s="10">
        <f>-SUM($B$10:J$10)/J$26</f>
        <v>-6500</v>
      </c>
      <c r="K29" s="10">
        <f>-SUM($B$10:K$10)/K$26</f>
        <v>-6500</v>
      </c>
      <c r="L29" s="10">
        <f>-SUM($B$10:L$10)/L$26</f>
        <v>-6500</v>
      </c>
      <c r="M29" s="10">
        <f>-SUM($B$10:M$10)/M$26</f>
        <v>-6500</v>
      </c>
      <c r="N29" s="10">
        <f>-SUM($B$10:N$10)/N$26</f>
        <v>-6500</v>
      </c>
      <c r="O29" s="10">
        <f>-SUM($B$10:O$10)/O$26</f>
        <v>-6500</v>
      </c>
      <c r="P29" s="10">
        <f>-SUM($B$10:P$10)/P$26</f>
        <v>-6500</v>
      </c>
    </row>
    <row r="30" spans="1:16" ht="12.75">
      <c r="A30" s="1" t="s">
        <v>16</v>
      </c>
      <c r="B30" s="7">
        <f aca="true" t="shared" si="10" ref="B30:P30">SUM(B27:B29)</f>
        <v>-26833.333333333336</v>
      </c>
      <c r="C30" s="7">
        <f t="shared" si="10"/>
        <v>-25523.617820719264</v>
      </c>
      <c r="D30" s="7">
        <f t="shared" si="10"/>
        <v>-24356.855175496494</v>
      </c>
      <c r="E30" s="7">
        <f t="shared" si="10"/>
        <v>-23316.164278807904</v>
      </c>
      <c r="F30" s="7">
        <f t="shared" si="10"/>
        <v>-22386.76193977907</v>
      </c>
      <c r="G30" s="7">
        <f t="shared" si="10"/>
        <v>-21555.694109730677</v>
      </c>
      <c r="H30" s="7">
        <f t="shared" si="10"/>
        <v>-20811.602140056453</v>
      </c>
      <c r="I30" s="7">
        <f t="shared" si="10"/>
        <v>-20144.519469356663</v>
      </c>
      <c r="J30" s="7">
        <f t="shared" si="10"/>
        <v>-19545.694736438938</v>
      </c>
      <c r="K30" s="7">
        <f t="shared" si="10"/>
        <v>-19007.437845656186</v>
      </c>
      <c r="L30" s="7">
        <f t="shared" si="10"/>
        <v>-18522.985970545968</v>
      </c>
      <c r="M30" s="7">
        <f t="shared" si="10"/>
        <v>-18086.386880227707</v>
      </c>
      <c r="N30" s="7">
        <f t="shared" si="10"/>
        <v>-17692.39731861827</v>
      </c>
      <c r="O30" s="7">
        <f t="shared" si="10"/>
        <v>-17336.394466277277</v>
      </c>
      <c r="P30" s="7">
        <f t="shared" si="10"/>
        <v>-17014.29877468805</v>
      </c>
    </row>
    <row r="33" spans="1:16" ht="13.5" thickBot="1">
      <c r="A33" s="17" t="s">
        <v>20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3.5" thickBot="1">
      <c r="A34" s="9" t="s">
        <v>21</v>
      </c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  <c r="L34" s="10">
        <v>11</v>
      </c>
      <c r="M34" s="10">
        <v>12</v>
      </c>
      <c r="N34" s="10">
        <v>13</v>
      </c>
      <c r="O34" s="10">
        <v>14</v>
      </c>
      <c r="P34" s="10">
        <v>15</v>
      </c>
    </row>
    <row r="35" spans="1:16" ht="12.75">
      <c r="A35" s="1" t="s">
        <v>18</v>
      </c>
      <c r="B35" s="7">
        <f>B$9-$B$6</f>
        <v>-13333.333333333328</v>
      </c>
      <c r="C35" s="7">
        <f aca="true" t="shared" si="11" ref="C35:P35">C$9-B$9</f>
        <v>-11555.555555555547</v>
      </c>
      <c r="D35" s="7">
        <f t="shared" si="11"/>
        <v>-10014.814814814818</v>
      </c>
      <c r="E35" s="7">
        <f t="shared" si="11"/>
        <v>-8679.506172839509</v>
      </c>
      <c r="F35" s="7">
        <f t="shared" si="11"/>
        <v>-7522.238683127573</v>
      </c>
      <c r="G35" s="7">
        <f t="shared" si="11"/>
        <v>-6519.273525377226</v>
      </c>
      <c r="H35" s="7">
        <f t="shared" si="11"/>
        <v>-5650.037055326931</v>
      </c>
      <c r="I35" s="7">
        <f t="shared" si="11"/>
        <v>-4896.698781283347</v>
      </c>
      <c r="J35" s="7">
        <f t="shared" si="11"/>
        <v>-4243.805610445561</v>
      </c>
      <c r="K35" s="7">
        <f t="shared" si="11"/>
        <v>-3677.964862386154</v>
      </c>
      <c r="L35" s="7">
        <f t="shared" si="11"/>
        <v>-3187.5695474013337</v>
      </c>
      <c r="M35" s="7">
        <f t="shared" si="11"/>
        <v>-2762.560274414489</v>
      </c>
      <c r="N35" s="7">
        <f t="shared" si="11"/>
        <v>-2394.218904492558</v>
      </c>
      <c r="O35" s="7">
        <f t="shared" si="11"/>
        <v>-2074.989717226883</v>
      </c>
      <c r="P35" s="7">
        <f t="shared" si="11"/>
        <v>-1798.3244215966315</v>
      </c>
    </row>
    <row r="36" spans="1:16" ht="12.75">
      <c r="A36" s="1" t="s">
        <v>19</v>
      </c>
      <c r="B36" s="7">
        <f>-($B$5/100)*($B$6)</f>
        <v>-7000.000000000001</v>
      </c>
      <c r="C36" s="7">
        <f aca="true" t="shared" si="12" ref="C36:P36">-($B$5/100)*(B$9+B$10)</f>
        <v>-6521.666666666668</v>
      </c>
      <c r="D36" s="7">
        <f t="shared" si="12"/>
        <v>-5712.777777777779</v>
      </c>
      <c r="E36" s="7">
        <f t="shared" si="12"/>
        <v>-5011.740740740742</v>
      </c>
      <c r="F36" s="7">
        <f t="shared" si="12"/>
        <v>-4404.175308641977</v>
      </c>
      <c r="G36" s="7">
        <f t="shared" si="12"/>
        <v>-3877.618600823046</v>
      </c>
      <c r="H36" s="7">
        <f t="shared" si="12"/>
        <v>-3421.2694540466405</v>
      </c>
      <c r="I36" s="7">
        <f t="shared" si="12"/>
        <v>-3025.766860173755</v>
      </c>
      <c r="J36" s="7">
        <f t="shared" si="12"/>
        <v>-2682.997945483921</v>
      </c>
      <c r="K36" s="7">
        <f t="shared" si="12"/>
        <v>-2385.9315527527315</v>
      </c>
      <c r="L36" s="7">
        <f t="shared" si="12"/>
        <v>-2128.4740123857005</v>
      </c>
      <c r="M36" s="7">
        <f t="shared" si="12"/>
        <v>-1905.3441440676072</v>
      </c>
      <c r="N36" s="7">
        <f t="shared" si="12"/>
        <v>-1711.9649248585931</v>
      </c>
      <c r="O36" s="7">
        <f t="shared" si="12"/>
        <v>-1544.369601544114</v>
      </c>
      <c r="P36" s="7">
        <f t="shared" si="12"/>
        <v>-1399.120321338232</v>
      </c>
    </row>
    <row r="37" spans="1:16" ht="13.5" thickBot="1">
      <c r="A37" s="17" t="s">
        <v>15</v>
      </c>
      <c r="B37" s="10">
        <f aca="true" t="shared" si="13" ref="B37:P37">-B$10</f>
        <v>-6500</v>
      </c>
      <c r="C37" s="10">
        <f t="shared" si="13"/>
        <v>-6500</v>
      </c>
      <c r="D37" s="10">
        <f t="shared" si="13"/>
        <v>-6500</v>
      </c>
      <c r="E37" s="10">
        <f t="shared" si="13"/>
        <v>-6500</v>
      </c>
      <c r="F37" s="10">
        <f t="shared" si="13"/>
        <v>-6500</v>
      </c>
      <c r="G37" s="10">
        <f t="shared" si="13"/>
        <v>-6500</v>
      </c>
      <c r="H37" s="10">
        <f t="shared" si="13"/>
        <v>-6500</v>
      </c>
      <c r="I37" s="10">
        <f t="shared" si="13"/>
        <v>-6500</v>
      </c>
      <c r="J37" s="10">
        <f t="shared" si="13"/>
        <v>-6500</v>
      </c>
      <c r="K37" s="10">
        <f t="shared" si="13"/>
        <v>-6500</v>
      </c>
      <c r="L37" s="10">
        <f t="shared" si="13"/>
        <v>-6500</v>
      </c>
      <c r="M37" s="10">
        <f t="shared" si="13"/>
        <v>-6500</v>
      </c>
      <c r="N37" s="10">
        <f t="shared" si="13"/>
        <v>-6500</v>
      </c>
      <c r="O37" s="10">
        <f t="shared" si="13"/>
        <v>-6500</v>
      </c>
      <c r="P37" s="10">
        <f t="shared" si="13"/>
        <v>-6500</v>
      </c>
    </row>
    <row r="38" spans="1:16" ht="12.75">
      <c r="A38" s="1" t="s">
        <v>22</v>
      </c>
      <c r="B38" s="7">
        <f aca="true" t="shared" si="14" ref="B38:P38">SUM(B$35:B$37)</f>
        <v>-26833.33333333333</v>
      </c>
      <c r="C38" s="7">
        <f t="shared" si="14"/>
        <v>-24577.222222222215</v>
      </c>
      <c r="D38" s="7">
        <f t="shared" si="14"/>
        <v>-22227.5925925926</v>
      </c>
      <c r="E38" s="7">
        <f t="shared" si="14"/>
        <v>-20191.24691358025</v>
      </c>
      <c r="F38" s="7">
        <f t="shared" si="14"/>
        <v>-18426.41399176955</v>
      </c>
      <c r="G38" s="7">
        <f t="shared" si="14"/>
        <v>-16896.892126200273</v>
      </c>
      <c r="H38" s="7">
        <f t="shared" si="14"/>
        <v>-15571.306509373571</v>
      </c>
      <c r="I38" s="7">
        <f t="shared" si="14"/>
        <v>-14422.465641457102</v>
      </c>
      <c r="J38" s="7">
        <f t="shared" si="14"/>
        <v>-13426.803555929482</v>
      </c>
      <c r="K38" s="7">
        <f t="shared" si="14"/>
        <v>-12563.896415138886</v>
      </c>
      <c r="L38" s="7">
        <f t="shared" si="14"/>
        <v>-11816.043559787035</v>
      </c>
      <c r="M38" s="7">
        <f t="shared" si="14"/>
        <v>-11167.904418482096</v>
      </c>
      <c r="N38" s="7">
        <f t="shared" si="14"/>
        <v>-10606.18382935115</v>
      </c>
      <c r="O38" s="7">
        <f t="shared" si="14"/>
        <v>-10119.359318770996</v>
      </c>
      <c r="P38" s="7">
        <f t="shared" si="14"/>
        <v>-9697.444742934864</v>
      </c>
    </row>
  </sheetData>
  <sheetProtection/>
  <printOptions/>
  <pageMargins left="1" right="1" top="1" bottom="1" header="0.5" footer="0.5"/>
  <pageSetup fitToHeight="1" fitToWidth="1" horizontalDpi="300" verticalDpi="300" orientation="landscape" scale="64" r:id="rId1"/>
  <headerFooter alignWithMargins="0">
    <oddFooter>&amp;R&amp;"Arial,Regular"&amp;F  Revised 9/6/2010
Dairy Science at Virginia Tech
McGilliard and Pecsok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7.375" style="3" customWidth="1"/>
    <col min="2" max="11" width="7.75390625" style="3" customWidth="1"/>
    <col min="12" max="16384" width="9.00390625" style="3" customWidth="1"/>
  </cols>
  <sheetData>
    <row r="1" s="19" customFormat="1" ht="15">
      <c r="A1" s="19" t="s">
        <v>23</v>
      </c>
    </row>
    <row r="2" spans="1:16" ht="12.75">
      <c r="A2" s="3" t="str">
        <f>'Annual Cost (to 15 yrs)'!A26</f>
        <v>THROUGH YEAR:</v>
      </c>
      <c r="B2" s="3">
        <f>'Annual Cost (to 15 yrs)'!B26</f>
        <v>1</v>
      </c>
      <c r="C2" s="3">
        <f>'Annual Cost (to 15 yrs)'!C26</f>
        <v>2</v>
      </c>
      <c r="D2" s="3">
        <f>'Annual Cost (to 15 yrs)'!D26</f>
        <v>3</v>
      </c>
      <c r="E2" s="3">
        <f>'Annual Cost (to 15 yrs)'!E26</f>
        <v>4</v>
      </c>
      <c r="F2" s="3">
        <f>'Annual Cost (to 15 yrs)'!F26</f>
        <v>5</v>
      </c>
      <c r="G2" s="3">
        <f>'Annual Cost (to 15 yrs)'!G26</f>
        <v>6</v>
      </c>
      <c r="H2" s="3">
        <f>'Annual Cost (to 15 yrs)'!H26</f>
        <v>7</v>
      </c>
      <c r="I2" s="3">
        <f>'Annual Cost (to 15 yrs)'!I26</f>
        <v>8</v>
      </c>
      <c r="J2" s="3">
        <f>'Annual Cost (to 15 yrs)'!J26</f>
        <v>9</v>
      </c>
      <c r="K2" s="3">
        <f>'Annual Cost (to 15 yrs)'!K26</f>
        <v>10</v>
      </c>
      <c r="L2" s="3">
        <f>'Annual Cost (to 15 yrs)'!L26</f>
        <v>11</v>
      </c>
      <c r="M2" s="3">
        <f>'Annual Cost (to 15 yrs)'!M26</f>
        <v>12</v>
      </c>
      <c r="N2" s="3">
        <f>'Annual Cost (to 15 yrs)'!N26</f>
        <v>13</v>
      </c>
      <c r="O2" s="3">
        <f>'Annual Cost (to 15 yrs)'!O26</f>
        <v>14</v>
      </c>
      <c r="P2" s="3">
        <f>'Annual Cost (to 15 yrs)'!P26</f>
        <v>15</v>
      </c>
    </row>
    <row r="3" spans="1:16" ht="12.75">
      <c r="A3" s="3" t="str">
        <f>'Annual Cost (to 15 yrs)'!A27</f>
        <v>DEPRECIATION</v>
      </c>
      <c r="B3" s="18">
        <f>-'Annual Cost (to 15 yrs)'!B27</f>
        <v>13333.333333333328</v>
      </c>
      <c r="C3" s="18">
        <f>-'Annual Cost (to 15 yrs)'!C27</f>
        <v>12444.444444444438</v>
      </c>
      <c r="D3" s="18">
        <f>-'Annual Cost (to 15 yrs)'!D27</f>
        <v>11634.567901234564</v>
      </c>
      <c r="E3" s="18">
        <f>-'Annual Cost (to 15 yrs)'!E27</f>
        <v>10895.8024691358</v>
      </c>
      <c r="F3" s="18">
        <f>-'Annual Cost (to 15 yrs)'!F27</f>
        <v>10221.089711934155</v>
      </c>
      <c r="G3" s="18">
        <f>-'Annual Cost (to 15 yrs)'!G27</f>
        <v>9604.120347508</v>
      </c>
      <c r="H3" s="18">
        <f>-'Annual Cost (to 15 yrs)'!H27</f>
        <v>9039.251305767848</v>
      </c>
      <c r="I3" s="18">
        <f>-'Annual Cost (to 15 yrs)'!I27</f>
        <v>8521.432240207285</v>
      </c>
      <c r="J3" s="18">
        <f>-'Annual Cost (to 15 yrs)'!J27</f>
        <v>8046.140392455982</v>
      </c>
      <c r="K3" s="18">
        <f>-'Annual Cost (to 15 yrs)'!K27</f>
        <v>7609.322839449</v>
      </c>
      <c r="L3" s="18">
        <f>-'Annual Cost (to 15 yrs)'!L27</f>
        <v>7207.345267444666</v>
      </c>
      <c r="M3" s="18">
        <f>-'Annual Cost (to 15 yrs)'!M27</f>
        <v>6836.946518025485</v>
      </c>
      <c r="N3" s="18">
        <f>-'Annual Cost (to 15 yrs)'!N27</f>
        <v>6495.198240061413</v>
      </c>
      <c r="O3" s="18">
        <f>-'Annual Cost (to 15 yrs)'!O27</f>
        <v>6179.469059858947</v>
      </c>
      <c r="P3" s="18">
        <f>-'Annual Cost (to 15 yrs)'!P27</f>
        <v>5887.392750641459</v>
      </c>
    </row>
    <row r="4" spans="1:16" ht="12.75">
      <c r="A4" s="3" t="str">
        <f>'Annual Cost (to 15 yrs)'!A28</f>
        <v>INTEREST</v>
      </c>
      <c r="B4" s="18">
        <f>-'Annual Cost (to 15 yrs)'!B28</f>
        <v>7000.000000000007</v>
      </c>
      <c r="C4" s="18">
        <f>-'Annual Cost (to 15 yrs)'!C28</f>
        <v>6579.173376274826</v>
      </c>
      <c r="D4" s="18">
        <f>-'Annual Cost (to 15 yrs)'!D28</f>
        <v>6222.287274261929</v>
      </c>
      <c r="E4" s="18">
        <f>-'Annual Cost (to 15 yrs)'!E28</f>
        <v>5920.361809672104</v>
      </c>
      <c r="F4" s="18">
        <f>-'Annual Cost (to 15 yrs)'!F28</f>
        <v>5665.672227844914</v>
      </c>
      <c r="G4" s="18">
        <f>-'Annual Cost (to 15 yrs)'!G28</f>
        <v>5451.573762222677</v>
      </c>
      <c r="H4" s="18">
        <f>-'Annual Cost (to 15 yrs)'!H28</f>
        <v>5272.350834288605</v>
      </c>
      <c r="I4" s="18">
        <f>-'Annual Cost (to 15 yrs)'!I28</f>
        <v>5123.087229149378</v>
      </c>
      <c r="J4" s="18">
        <f>-'Annual Cost (to 15 yrs)'!J28</f>
        <v>4999.554343982956</v>
      </c>
      <c r="K4" s="18">
        <f>-'Annual Cost (to 15 yrs)'!K28</f>
        <v>4898.1150062071865</v>
      </c>
      <c r="L4" s="18">
        <f>-'Annual Cost (to 15 yrs)'!L28</f>
        <v>4815.6407031013005</v>
      </c>
      <c r="M4" s="18">
        <f>-'Annual Cost (to 15 yrs)'!M28</f>
        <v>4749.440362202222</v>
      </c>
      <c r="N4" s="18">
        <f>-'Annual Cost (to 15 yrs)'!N28</f>
        <v>4697.199078556856</v>
      </c>
      <c r="O4" s="18">
        <f>-'Annual Cost (to 15 yrs)'!O28</f>
        <v>4656.92540641833</v>
      </c>
      <c r="P4" s="18">
        <f>-'Annual Cost (to 15 yrs)'!P28</f>
        <v>4626.9060240465915</v>
      </c>
    </row>
    <row r="5" spans="1:16" ht="12.75">
      <c r="A5" s="3" t="str">
        <f>'Annual Cost (to 15 yrs)'!A29</f>
        <v>OPERATE, REPAIRS</v>
      </c>
      <c r="B5" s="18">
        <f>-'Annual Cost (to 15 yrs)'!B29</f>
        <v>6500</v>
      </c>
      <c r="C5" s="18">
        <f>-'Annual Cost (to 15 yrs)'!C29</f>
        <v>6500</v>
      </c>
      <c r="D5" s="18">
        <f>-'Annual Cost (to 15 yrs)'!D29</f>
        <v>6500</v>
      </c>
      <c r="E5" s="18">
        <f>-'Annual Cost (to 15 yrs)'!E29</f>
        <v>6500</v>
      </c>
      <c r="F5" s="18">
        <f>-'Annual Cost (to 15 yrs)'!F29</f>
        <v>6500</v>
      </c>
      <c r="G5" s="18">
        <f>-'Annual Cost (to 15 yrs)'!G29</f>
        <v>6500</v>
      </c>
      <c r="H5" s="18">
        <f>-'Annual Cost (to 15 yrs)'!H29</f>
        <v>6500</v>
      </c>
      <c r="I5" s="18">
        <f>-'Annual Cost (to 15 yrs)'!I29</f>
        <v>6500</v>
      </c>
      <c r="J5" s="18">
        <f>-'Annual Cost (to 15 yrs)'!J29</f>
        <v>6500</v>
      </c>
      <c r="K5" s="18">
        <f>-'Annual Cost (to 15 yrs)'!K29</f>
        <v>6500</v>
      </c>
      <c r="L5" s="18">
        <f>-'Annual Cost (to 15 yrs)'!L29</f>
        <v>6500</v>
      </c>
      <c r="M5" s="18">
        <f>-'Annual Cost (to 15 yrs)'!M29</f>
        <v>6500</v>
      </c>
      <c r="N5" s="18">
        <f>-'Annual Cost (to 15 yrs)'!N29</f>
        <v>6500</v>
      </c>
      <c r="O5" s="18">
        <f>-'Annual Cost (to 15 yrs)'!O29</f>
        <v>6500</v>
      </c>
      <c r="P5" s="18">
        <f>-'Annual Cost (to 15 yrs)'!P29</f>
        <v>6500</v>
      </c>
    </row>
    <row r="6" spans="1:16" ht="12.75">
      <c r="A6" s="3" t="str">
        <f>'Annual Cost (to 15 yrs)'!A30</f>
        <v>TOTAL PER YEAR:</v>
      </c>
      <c r="B6" s="18">
        <f>-'Annual Cost (to 15 yrs)'!B30</f>
        <v>26833.333333333336</v>
      </c>
      <c r="C6" s="18">
        <f>-'Annual Cost (to 15 yrs)'!C30</f>
        <v>25523.617820719264</v>
      </c>
      <c r="D6" s="18">
        <f>-'Annual Cost (to 15 yrs)'!D30</f>
        <v>24356.855175496494</v>
      </c>
      <c r="E6" s="18">
        <f>-'Annual Cost (to 15 yrs)'!E30</f>
        <v>23316.164278807904</v>
      </c>
      <c r="F6" s="18">
        <f>-'Annual Cost (to 15 yrs)'!F30</f>
        <v>22386.76193977907</v>
      </c>
      <c r="G6" s="18">
        <f>-'Annual Cost (to 15 yrs)'!G30</f>
        <v>21555.694109730677</v>
      </c>
      <c r="H6" s="18">
        <f>-'Annual Cost (to 15 yrs)'!H30</f>
        <v>20811.602140056453</v>
      </c>
      <c r="I6" s="18">
        <f>-'Annual Cost (to 15 yrs)'!I30</f>
        <v>20144.519469356663</v>
      </c>
      <c r="J6" s="18">
        <f>-'Annual Cost (to 15 yrs)'!J30</f>
        <v>19545.694736438938</v>
      </c>
      <c r="K6" s="18">
        <f>-'Annual Cost (to 15 yrs)'!K30</f>
        <v>19007.437845656186</v>
      </c>
      <c r="L6" s="18">
        <f>-'Annual Cost (to 15 yrs)'!L30</f>
        <v>18522.985970545968</v>
      </c>
      <c r="M6" s="18">
        <f>-'Annual Cost (to 15 yrs)'!M30</f>
        <v>18086.386880227707</v>
      </c>
      <c r="N6" s="18">
        <f>-'Annual Cost (to 15 yrs)'!N30</f>
        <v>17692.39731861827</v>
      </c>
      <c r="O6" s="18">
        <f>-'Annual Cost (to 15 yrs)'!O30</f>
        <v>17336.394466277277</v>
      </c>
      <c r="P6" s="18">
        <f>-'Annual Cost (to 15 yrs)'!P30</f>
        <v>17014.29877468805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McGilliard</dc:creator>
  <cp:keywords/>
  <dc:description/>
  <cp:lastModifiedBy>Laura</cp:lastModifiedBy>
  <cp:lastPrinted>2010-09-06T22:32:26Z</cp:lastPrinted>
  <dcterms:created xsi:type="dcterms:W3CDTF">1996-09-10T03:29:15Z</dcterms:created>
  <dcterms:modified xsi:type="dcterms:W3CDTF">2017-03-09T21:56:39Z</dcterms:modified>
  <cp:category/>
  <cp:version/>
  <cp:contentType/>
  <cp:contentStatus/>
</cp:coreProperties>
</file>