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048" activeTab="0"/>
  </bookViews>
  <sheets>
    <sheet name="24000" sheetId="1" r:id="rId1"/>
    <sheet name="Sheet1" sheetId="2" r:id="rId2"/>
  </sheets>
  <definedNames>
    <definedName name="_xlnm.Print_Area" localSheetId="0">'24000'!$A$2:$L$73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Eric Eberly</author>
  </authors>
  <commentList>
    <comment ref="F37" authorId="0">
      <text>
        <r>
          <rPr>
            <b/>
            <sz val="8"/>
            <rFont val="Tahoma"/>
            <family val="2"/>
          </rPr>
          <t>Marketing Charge is $5.00 per Head plus 2% of Gross Sale Proceeds.</t>
        </r>
      </text>
    </comment>
    <comment ref="F41" authorId="0">
      <text>
        <r>
          <rPr>
            <b/>
            <sz val="8"/>
            <rFont val="Tahoma"/>
            <family val="2"/>
          </rPr>
          <t>Add FICA and other employer paid taxes to wages/salary paid.</t>
        </r>
      </text>
    </comment>
    <comment ref="H41" authorId="0">
      <text>
        <r>
          <rPr>
            <b/>
            <sz val="8"/>
            <rFont val="Tahoma"/>
            <family val="2"/>
          </rPr>
          <t>Number of FTE's minus 1 FTE for the owner/operator.</t>
        </r>
      </text>
    </comment>
    <comment ref="B18" authorId="0">
      <text>
        <r>
          <rPr>
            <b/>
            <sz val="8"/>
            <rFont val="Tahoma"/>
            <family val="2"/>
          </rPr>
          <t>Storage, Handling &amp; Feeding Loss. Your values could be significantly different.</t>
        </r>
      </text>
    </comment>
    <comment ref="E41" authorId="0">
      <text>
        <r>
          <rPr>
            <b/>
            <sz val="8"/>
            <rFont val="Tahoma"/>
            <family val="2"/>
          </rPr>
          <t>Full Time Equivants
2080 Hours</t>
        </r>
      </text>
    </comment>
    <comment ref="A75" authorId="0">
      <text>
        <r>
          <rPr>
            <b/>
            <sz val="8"/>
            <rFont val="Tahoma"/>
            <family val="2"/>
          </rPr>
          <t>Rations balanced by Dr. Charles Stallings, Virginia Tech. Your ration may be significantly different based on forage quality and feed prices!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Option: You can enter your actual head here.</t>
        </r>
      </text>
    </comment>
    <comment ref="B14" authorId="0">
      <text>
        <r>
          <rPr>
            <b/>
            <sz val="8"/>
            <rFont val="Tahoma"/>
            <family val="2"/>
          </rPr>
          <t>Option: You can enter your actual head here.</t>
        </r>
      </text>
    </comment>
    <comment ref="B37" authorId="0">
      <text>
        <r>
          <rPr>
            <b/>
            <sz val="8"/>
            <rFont val="Tahoma"/>
            <family val="2"/>
          </rPr>
          <t>Option: You can enter your actual marketing cost per head here.</t>
        </r>
      </text>
    </comment>
    <comment ref="B41" authorId="0">
      <text>
        <r>
          <rPr>
            <b/>
            <sz val="8"/>
            <rFont val="Tahoma"/>
            <family val="2"/>
          </rPr>
          <t>Enter your actual FTE's.
FTE= Full Time Equivalents
FTE= 2080 Hours/Year</t>
        </r>
      </text>
    </comment>
    <comment ref="C79" authorId="0">
      <text>
        <r>
          <rPr>
            <b/>
            <sz val="8"/>
            <rFont val="Tahoma"/>
            <family val="2"/>
          </rPr>
          <t>Enter Weight of feed unit in Column C if purchased by the Bushel or CWT.</t>
        </r>
      </text>
    </comment>
  </commentList>
</comments>
</file>

<file path=xl/sharedStrings.xml><?xml version="1.0" encoding="utf-8"?>
<sst xmlns="http://schemas.openxmlformats.org/spreadsheetml/2006/main" count="434" uniqueCount="122">
  <si>
    <t/>
  </si>
  <si>
    <t>TOTAL</t>
  </si>
  <si>
    <t>UNIT</t>
  </si>
  <si>
    <t>QUANTITY</t>
  </si>
  <si>
    <t>PRICE</t>
  </si>
  <si>
    <t>ITEM</t>
  </si>
  <si>
    <t>@</t>
  </si>
  <si>
    <t>COWS</t>
  </si>
  <si>
    <t>% ANNUAL COW DEATH LOSS</t>
  </si>
  <si>
    <t xml:space="preserve"> </t>
  </si>
  <si>
    <t xml:space="preserve"> ANNUAL DEBT SERVICE</t>
  </si>
  <si>
    <t xml:space="preserve">       TOTAL ANNUAL DEBT PAYMENTS</t>
  </si>
  <si>
    <t>% COWS LEAVING HERD ANNUALLY</t>
  </si>
  <si>
    <t>Amount</t>
  </si>
  <si>
    <t>Percent</t>
  </si>
  <si>
    <t>Length</t>
  </si>
  <si>
    <t>Annual</t>
  </si>
  <si>
    <t xml:space="preserve">  Item</t>
  </si>
  <si>
    <t>Borrowed</t>
  </si>
  <si>
    <t>Interest</t>
  </si>
  <si>
    <t>of Loan</t>
  </si>
  <si>
    <t>Payment</t>
  </si>
  <si>
    <t xml:space="preserve"> Bred Heifers</t>
  </si>
  <si>
    <t xml:space="preserve"> Item Name</t>
  </si>
  <si>
    <t>Lactating</t>
  </si>
  <si>
    <t>Cows</t>
  </si>
  <si>
    <t>Dry</t>
  </si>
  <si>
    <t>Bred</t>
  </si>
  <si>
    <t>Heifers</t>
  </si>
  <si>
    <t>Open Heifers</t>
  </si>
  <si>
    <t xml:space="preserve"> __________</t>
  </si>
  <si>
    <t xml:space="preserve"> Milk</t>
  </si>
  <si>
    <t xml:space="preserve"> Bull Calves</t>
  </si>
  <si>
    <t>Number of Head =</t>
  </si>
  <si>
    <t>Days Fed =</t>
  </si>
  <si>
    <t>Cwt</t>
  </si>
  <si>
    <t>Head</t>
  </si>
  <si>
    <t>Acre</t>
  </si>
  <si>
    <t xml:space="preserve"> Pasture</t>
  </si>
  <si>
    <t xml:space="preserve"> Milk Replacer</t>
  </si>
  <si>
    <t xml:space="preserve"> Calf Grower</t>
  </si>
  <si>
    <t xml:space="preserve"> Breeding</t>
  </si>
  <si>
    <t xml:space="preserve"> Vet &amp; Medicine</t>
  </si>
  <si>
    <t xml:space="preserve"> Supplies</t>
  </si>
  <si>
    <t xml:space="preserve"> Assessment/Advertising/Etc.</t>
  </si>
  <si>
    <t xml:space="preserve"> Building &amp; Fence Repairs</t>
  </si>
  <si>
    <t xml:space="preserve"> Machinery (Non-Crop)</t>
  </si>
  <si>
    <t xml:space="preserve"> Utilities</t>
  </si>
  <si>
    <t xml:space="preserve"> Farm Insurance</t>
  </si>
  <si>
    <t xml:space="preserve"> Custom Hire</t>
  </si>
  <si>
    <t xml:space="preserve"> Taxes</t>
  </si>
  <si>
    <t>500-800#</t>
  </si>
  <si>
    <t>300-500#</t>
  </si>
  <si>
    <t>to Dairy</t>
  </si>
  <si>
    <t xml:space="preserve">Total </t>
  </si>
  <si>
    <t xml:space="preserve">Tons </t>
  </si>
  <si>
    <t xml:space="preserve"> Market Cull Cattle</t>
  </si>
  <si>
    <t>$/Head</t>
  </si>
  <si>
    <t>FTE</t>
  </si>
  <si>
    <t>3. VARIABLE COSTS</t>
  </si>
  <si>
    <t>1. GROSS RECEIPTS</t>
  </si>
  <si>
    <t>2. TOTAL GROSS RECEIPTS</t>
  </si>
  <si>
    <t>Feed Loss</t>
  </si>
  <si>
    <t xml:space="preserve"> Dairy Heifers &amp; Cows</t>
  </si>
  <si>
    <t xml:space="preserve"> Labor (FTE's)</t>
  </si>
  <si>
    <t>Cows per</t>
  </si>
  <si>
    <t>HEAD</t>
  </si>
  <si>
    <t>Your Farm</t>
  </si>
  <si>
    <t xml:space="preserve"> Cull Cows &amp; Heifers</t>
  </si>
  <si>
    <t>7. Price Sensitivity Analysis</t>
  </si>
  <si>
    <t>Percent Change in Total Gross Receipts</t>
  </si>
  <si>
    <t>--- Net Cash Return over Total Variable Costs per Cow ---</t>
  </si>
  <si>
    <t>Change in</t>
  </si>
  <si>
    <t>Total Variable</t>
  </si>
  <si>
    <t>Costs</t>
  </si>
  <si>
    <t>Table Sensitivity Increment</t>
  </si>
  <si>
    <t>8. RATIONS</t>
  </si>
  <si>
    <t>Per Cow</t>
  </si>
  <si>
    <t xml:space="preserve"> Farm/Land Rent</t>
  </si>
  <si>
    <t>(Excludes Interest)</t>
  </si>
  <si>
    <t>Lbs/Head/Day</t>
  </si>
  <si>
    <t>Unit</t>
  </si>
  <si>
    <t>Custom Mix</t>
  </si>
  <si>
    <t>Citrus Pulp</t>
  </si>
  <si>
    <t>Other</t>
  </si>
  <si>
    <t>Per CWT</t>
  </si>
  <si>
    <t>Heat detection RATE</t>
  </si>
  <si>
    <t>CONCEPTION RATE</t>
  </si>
  <si>
    <t>21 Day Pregnancy rate</t>
  </si>
  <si>
    <t>No. of inseminations per 21 days</t>
  </si>
  <si>
    <t>No. possible inseminations per 21 days</t>
  </si>
  <si>
    <t>No. of pregnancies from inseminations per 21 days</t>
  </si>
  <si>
    <t>Desired calving interval (mos)</t>
  </si>
  <si>
    <t>DAIRY COW - Corn Silage / Small Grain Silage Ration</t>
  </si>
  <si>
    <t>LBS MILK Sold PER COW</t>
  </si>
  <si>
    <r>
      <t xml:space="preserve">6. PROJECTED NET RETURN TO </t>
    </r>
    <r>
      <rPr>
        <b/>
        <sz val="10"/>
        <rFont val="Arial Narrow"/>
        <family val="2"/>
      </rPr>
      <t>EQUITY, MANAGEMENT, &amp; RISK</t>
    </r>
  </si>
  <si>
    <t>Whole Cotton Seed</t>
  </si>
  <si>
    <t xml:space="preserve"> Hoof Trimming, DHIA, Other Expenses</t>
  </si>
  <si>
    <t>Milk hauling</t>
  </si>
  <si>
    <t>Wet Brewers Grains</t>
  </si>
  <si>
    <t>Corn Grain</t>
  </si>
  <si>
    <t>SBOM 48%</t>
  </si>
  <si>
    <t>Corn Silage, KP</t>
  </si>
  <si>
    <t>Small Grain Silage</t>
  </si>
  <si>
    <t>Grass Hay</t>
  </si>
  <si>
    <t xml:space="preserve">  All dairy farms signed an agreement in 2004 that none would use any type of growth hormones in dairy production.</t>
  </si>
  <si>
    <t xml:space="preserve">  The FTE's per cow for a 2000 cow dairy virtually double in economies from 1000 cows to 2000 cows. That is</t>
  </si>
  <si>
    <t>Notes: 1</t>
  </si>
  <si>
    <t xml:space="preserve"> Cooperative Distributions, Crop Sales, Other Income</t>
  </si>
  <si>
    <r>
      <t>5. TOTAL</t>
    </r>
    <r>
      <rPr>
        <b/>
        <u val="single"/>
        <sz val="10"/>
        <rFont val="Arial"/>
        <family val="2"/>
      </rPr>
      <t>VARIABLE</t>
    </r>
    <r>
      <rPr>
        <b/>
        <sz val="10"/>
        <rFont val="Arial"/>
        <family val="2"/>
      </rPr>
      <t xml:space="preserve"> Cost per CWT</t>
    </r>
  </si>
  <si>
    <r>
      <t xml:space="preserve">4. TOTAL </t>
    </r>
    <r>
      <rPr>
        <b/>
        <u val="single"/>
        <sz val="10"/>
        <rFont val="Arial"/>
        <family val="2"/>
      </rPr>
      <t>VARIABLE</t>
    </r>
    <r>
      <rPr>
        <b/>
        <sz val="10"/>
        <rFont val="Arial"/>
        <family val="2"/>
      </rPr>
      <t xml:space="preserve"> COST/COW (Excludes Interest)</t>
    </r>
  </si>
  <si>
    <t>NC State University Extension and North Carolina Dairy Advantage - 2011 Dairy Budget Projections</t>
  </si>
  <si>
    <t xml:space="preserve">  a 1000 cow dairy typically takes 1 FTE per 47 cows while a the 2000 cow daires average 1 FTE / 74 cows.</t>
  </si>
  <si>
    <t xml:space="preserve">  Most dairies in North Carolina feed some kind of custom mixed feed that includes minerals.</t>
  </si>
  <si>
    <t>$/cwt Milk</t>
  </si>
  <si>
    <t xml:space="preserve">  While some dairies use alfalfa hay for dairy production it is the exception rather than the rule in North Carolina.</t>
  </si>
  <si>
    <t>Other expenses</t>
  </si>
  <si>
    <t xml:space="preserve">  This information is based on aggregate data collected from 19 dairy farms in North Carolina.</t>
  </si>
  <si>
    <t xml:space="preserve">  Data came from recent records dated November 1, 2010 - January 31, 2011.</t>
  </si>
  <si>
    <t>and FTE per 88 cows used in this budget. As input costs rise labor has been reduced on the farm to try and cut costs.</t>
  </si>
  <si>
    <t>Notes:</t>
  </si>
  <si>
    <t>Developed by NCSU Ag. &amp; Resource Economics and Animal Science Dairy Extension faculty in collaboration with the NC Dairy Advantage Group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</si>
</sst>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_);\(0.00\)"/>
    <numFmt numFmtId="167" formatCode="0_)"/>
    <numFmt numFmtId="168" formatCode="0.00_)"/>
    <numFmt numFmtId="169" formatCode="0.0_)"/>
    <numFmt numFmtId="170" formatCode="dd\-mmm\-yy_)"/>
    <numFmt numFmtId="171" formatCode="#,##0.0_);\(#,##0.0\)"/>
    <numFmt numFmtId="172" formatCode="0_);\(0\)"/>
    <numFmt numFmtId="173" formatCode="General_)"/>
    <numFmt numFmtId="174" formatCode="&quot;$&quot;#,##0.00;[Red]&quot;$&quot;#,##0.00"/>
  </numFmts>
  <fonts count="74"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6"/>
      <name val="Arial Narrow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2"/>
      <color indexed="8"/>
      <name val="Arial Narrow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sz val="11"/>
      <name val="Arial"/>
      <family val="2"/>
    </font>
    <font>
      <u val="singleAccounting"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33CC"/>
      <name val="Arial"/>
      <family val="2"/>
    </font>
    <font>
      <b/>
      <sz val="12"/>
      <color rgb="FF0000FF"/>
      <name val="Arial"/>
      <family val="2"/>
    </font>
    <font>
      <b/>
      <sz val="12"/>
      <color rgb="FF0033CC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/>
      <bottom style="hair">
        <color indexed="1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1" applyNumberFormat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0" fontId="0" fillId="33" borderId="7" applyNumberFormat="0" applyFont="0" applyAlignment="0" applyProtection="0"/>
    <xf numFmtId="0" fontId="63" fillId="28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8"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fill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3" fillId="0" borderId="0" xfId="0" applyFont="1" applyAlignment="1">
      <alignment/>
    </xf>
    <xf numFmtId="2" fontId="3" fillId="0" borderId="10" xfId="0" applyFont="1" applyBorder="1" applyAlignment="1" applyProtection="1">
      <alignment horizontal="left"/>
      <protection/>
    </xf>
    <xf numFmtId="2" fontId="3" fillId="0" borderId="10" xfId="0" applyFont="1" applyBorder="1" applyAlignment="1" applyProtection="1">
      <alignment horizontal="right"/>
      <protection/>
    </xf>
    <xf numFmtId="2" fontId="3" fillId="0" borderId="10" xfId="0" applyFont="1" applyBorder="1" applyAlignment="1" applyProtection="1">
      <alignment horizontal="center"/>
      <protection/>
    </xf>
    <xf numFmtId="167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 horizontal="left"/>
      <protection/>
    </xf>
    <xf numFmtId="167" fontId="6" fillId="0" borderId="11" xfId="0" applyNumberFormat="1" applyFont="1" applyBorder="1" applyAlignment="1" applyProtection="1">
      <alignment/>
      <protection locked="0"/>
    </xf>
    <xf numFmtId="168" fontId="3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 locked="0"/>
    </xf>
    <xf numFmtId="7" fontId="3" fillId="0" borderId="0" xfId="0" applyNumberFormat="1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 horizontal="right"/>
      <protection/>
    </xf>
    <xf numFmtId="7" fontId="3" fillId="0" borderId="10" xfId="0" applyNumberFormat="1" applyFont="1" applyBorder="1" applyAlignment="1" applyProtection="1">
      <alignment/>
      <protection/>
    </xf>
    <xf numFmtId="167" fontId="3" fillId="0" borderId="10" xfId="0" applyNumberFormat="1" applyFont="1" applyBorder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7" fontId="3" fillId="0" borderId="11" xfId="0" applyNumberFormat="1" applyFont="1" applyBorder="1" applyAlignment="1" applyProtection="1">
      <alignment horizontal="fill"/>
      <protection/>
    </xf>
    <xf numFmtId="169" fontId="3" fillId="0" borderId="0" xfId="0" applyNumberFormat="1" applyFont="1" applyAlignment="1" applyProtection="1">
      <alignment/>
      <protection/>
    </xf>
    <xf numFmtId="7" fontId="10" fillId="0" borderId="10" xfId="0" applyNumberFormat="1" applyFont="1" applyBorder="1" applyAlignment="1" applyProtection="1">
      <alignment horizontal="left"/>
      <protection/>
    </xf>
    <xf numFmtId="49" fontId="10" fillId="0" borderId="10" xfId="0" applyNumberFormat="1" applyFont="1" applyBorder="1" applyAlignment="1" applyProtection="1">
      <alignment horizontal="right"/>
      <protection/>
    </xf>
    <xf numFmtId="2" fontId="9" fillId="0" borderId="0" xfId="0" applyFont="1" applyAlignment="1" applyProtection="1">
      <alignment horizontal="left"/>
      <protection/>
    </xf>
    <xf numFmtId="2" fontId="3" fillId="0" borderId="0" xfId="0" applyFont="1" applyAlignment="1" applyProtection="1">
      <alignment horizontal="right"/>
      <protection/>
    </xf>
    <xf numFmtId="2" fontId="3" fillId="0" borderId="0" xfId="0" applyFont="1" applyAlignment="1" applyProtection="1">
      <alignment horizontal="center"/>
      <protection/>
    </xf>
    <xf numFmtId="2" fontId="3" fillId="0" borderId="11" xfId="0" applyFont="1" applyBorder="1" applyAlignment="1" applyProtection="1">
      <alignment horizontal="left"/>
      <protection/>
    </xf>
    <xf numFmtId="2" fontId="3" fillId="0" borderId="11" xfId="0" applyFont="1" applyBorder="1" applyAlignment="1" applyProtection="1">
      <alignment horizontal="right"/>
      <protection/>
    </xf>
    <xf numFmtId="2" fontId="3" fillId="0" borderId="11" xfId="0" applyFont="1" applyBorder="1" applyAlignment="1" applyProtection="1">
      <alignment horizontal="center"/>
      <protection/>
    </xf>
    <xf numFmtId="2" fontId="3" fillId="0" borderId="0" xfId="0" applyFont="1" applyAlignment="1" applyProtection="1">
      <alignment horizontal="fill"/>
      <protection/>
    </xf>
    <xf numFmtId="2" fontId="6" fillId="0" borderId="0" xfId="0" applyFont="1" applyAlignment="1" applyProtection="1">
      <alignment horizontal="left"/>
      <protection locked="0"/>
    </xf>
    <xf numFmtId="2" fontId="6" fillId="0" borderId="0" xfId="0" applyFont="1" applyAlignment="1" applyProtection="1">
      <alignment/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167" fontId="6" fillId="0" borderId="0" xfId="0" applyNumberFormat="1" applyFont="1" applyAlignment="1" applyProtection="1">
      <alignment horizontal="center"/>
      <protection locked="0"/>
    </xf>
    <xf numFmtId="9" fontId="6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>
      <alignment/>
    </xf>
    <xf numFmtId="2" fontId="3" fillId="0" borderId="11" xfId="0" applyFont="1" applyBorder="1" applyAlignment="1" applyProtection="1">
      <alignment horizontal="fill"/>
      <protection/>
    </xf>
    <xf numFmtId="164" fontId="3" fillId="0" borderId="11" xfId="0" applyNumberFormat="1" applyFont="1" applyBorder="1" applyAlignment="1" applyProtection="1">
      <alignment horizontal="fill"/>
      <protection/>
    </xf>
    <xf numFmtId="167" fontId="3" fillId="0" borderId="12" xfId="0" applyNumberFormat="1" applyFont="1" applyBorder="1" applyAlignment="1" applyProtection="1">
      <alignment/>
      <protection/>
    </xf>
    <xf numFmtId="5" fontId="9" fillId="0" borderId="12" xfId="0" applyNumberFormat="1" applyFont="1" applyBorder="1" applyAlignment="1" applyProtection="1">
      <alignment horizontal="left"/>
      <protection/>
    </xf>
    <xf numFmtId="167" fontId="9" fillId="0" borderId="12" xfId="0" applyNumberFormat="1" applyFont="1" applyBorder="1" applyAlignment="1" applyProtection="1">
      <alignment/>
      <protection/>
    </xf>
    <xf numFmtId="164" fontId="9" fillId="0" borderId="12" xfId="0" applyNumberFormat="1" applyFont="1" applyBorder="1" applyAlignment="1" applyProtection="1">
      <alignment/>
      <protection/>
    </xf>
    <xf numFmtId="2" fontId="3" fillId="0" borderId="12" xfId="0" applyFont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 locked="0"/>
    </xf>
    <xf numFmtId="7" fontId="9" fillId="0" borderId="0" xfId="0" applyNumberFormat="1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center"/>
      <protection locked="0"/>
    </xf>
    <xf numFmtId="7" fontId="3" fillId="0" borderId="11" xfId="0" applyNumberFormat="1" applyFont="1" applyBorder="1" applyAlignment="1" applyProtection="1">
      <alignment horizontal="right"/>
      <protection/>
    </xf>
    <xf numFmtId="7" fontId="3" fillId="0" borderId="0" xfId="0" applyNumberFormat="1" applyFont="1" applyBorder="1" applyAlignment="1" applyProtection="1">
      <alignment horizontal="right"/>
      <protection/>
    </xf>
    <xf numFmtId="7" fontId="3" fillId="0" borderId="0" xfId="0" applyNumberFormat="1" applyFont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2" fontId="3" fillId="0" borderId="0" xfId="0" applyFont="1" applyAlignment="1" applyProtection="1" quotePrefix="1">
      <alignment horizontal="center"/>
      <protection/>
    </xf>
    <xf numFmtId="168" fontId="3" fillId="0" borderId="0" xfId="0" applyNumberFormat="1" applyFont="1" applyAlignment="1" applyProtection="1" quotePrefix="1">
      <alignment/>
      <protection/>
    </xf>
    <xf numFmtId="2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/>
      <protection/>
    </xf>
    <xf numFmtId="2" fontId="3" fillId="0" borderId="0" xfId="0" applyFont="1" applyBorder="1" applyAlignment="1" applyProtection="1">
      <alignment horizontal="right"/>
      <protection/>
    </xf>
    <xf numFmtId="2" fontId="9" fillId="0" borderId="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7" fontId="10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Alignment="1" applyProtection="1">
      <alignment/>
      <protection/>
    </xf>
    <xf numFmtId="2" fontId="10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 quotePrefix="1">
      <alignment/>
      <protection/>
    </xf>
    <xf numFmtId="167" fontId="3" fillId="0" borderId="0" xfId="0" applyNumberFormat="1" applyFont="1" applyAlignment="1" applyProtection="1" quotePrefix="1">
      <alignment/>
      <protection/>
    </xf>
    <xf numFmtId="172" fontId="3" fillId="0" borderId="0" xfId="0" applyNumberFormat="1" applyFont="1" applyAlignment="1" applyProtection="1">
      <alignment/>
      <protection/>
    </xf>
    <xf numFmtId="7" fontId="9" fillId="0" borderId="0" xfId="0" applyNumberFormat="1" applyFont="1" applyAlignment="1" applyProtection="1">
      <alignment/>
      <protection/>
    </xf>
    <xf numFmtId="7" fontId="9" fillId="0" borderId="12" xfId="0" applyNumberFormat="1" applyFont="1" applyBorder="1" applyAlignment="1" applyProtection="1">
      <alignment horizontal="left"/>
      <protection/>
    </xf>
    <xf numFmtId="8" fontId="9" fillId="0" borderId="12" xfId="0" applyNumberFormat="1" applyFont="1" applyBorder="1" applyAlignment="1" applyProtection="1">
      <alignment/>
      <protection/>
    </xf>
    <xf numFmtId="7" fontId="10" fillId="0" borderId="0" xfId="0" applyNumberFormat="1" applyFont="1" applyBorder="1" applyAlignment="1" applyProtection="1">
      <alignment horizontal="left"/>
      <protection/>
    </xf>
    <xf numFmtId="7" fontId="3" fillId="0" borderId="0" xfId="0" applyNumberFormat="1" applyFont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7" fontId="21" fillId="0" borderId="0" xfId="0" applyNumberFormat="1" applyFont="1" applyAlignment="1" applyProtection="1">
      <alignment horizontal="center"/>
      <protection/>
    </xf>
    <xf numFmtId="2" fontId="67" fillId="0" borderId="0" xfId="0" applyNumberFormat="1" applyFont="1" applyFill="1" applyAlignment="1" applyProtection="1">
      <alignment/>
      <protection locked="0"/>
    </xf>
    <xf numFmtId="7" fontId="50" fillId="0" borderId="0" xfId="0" applyNumberFormat="1" applyFont="1" applyAlignment="1" applyProtection="1">
      <alignment horizontal="left"/>
      <protection/>
    </xf>
    <xf numFmtId="2" fontId="0" fillId="0" borderId="11" xfId="0" applyNumberFormat="1" applyFont="1" applyFill="1" applyBorder="1" applyAlignment="1" applyProtection="1">
      <alignment/>
      <protection/>
    </xf>
    <xf numFmtId="2" fontId="1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 locked="0"/>
    </xf>
    <xf numFmtId="167" fontId="68" fillId="0" borderId="13" xfId="0" applyNumberFormat="1" applyFont="1" applyFill="1" applyBorder="1" applyAlignment="1" applyProtection="1">
      <alignment horizontal="center"/>
      <protection locked="0"/>
    </xf>
    <xf numFmtId="167" fontId="68" fillId="0" borderId="14" xfId="0" applyNumberFormat="1" applyFont="1" applyFill="1" applyBorder="1" applyAlignment="1" applyProtection="1">
      <alignment horizontal="center"/>
      <protection locked="0"/>
    </xf>
    <xf numFmtId="167" fontId="15" fillId="0" borderId="15" xfId="0" applyNumberFormat="1" applyFont="1" applyBorder="1" applyAlignment="1" applyProtection="1">
      <alignment/>
      <protection locked="0"/>
    </xf>
    <xf numFmtId="169" fontId="15" fillId="0" borderId="15" xfId="0" applyNumberFormat="1" applyFont="1" applyBorder="1" applyAlignment="1" applyProtection="1">
      <alignment/>
      <protection locked="0"/>
    </xf>
    <xf numFmtId="167" fontId="69" fillId="0" borderId="16" xfId="0" applyNumberFormat="1" applyFont="1" applyFill="1" applyBorder="1" applyAlignment="1" applyProtection="1">
      <alignment horizontal="center"/>
      <protection locked="0"/>
    </xf>
    <xf numFmtId="165" fontId="69" fillId="0" borderId="15" xfId="0" applyNumberFormat="1" applyFont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/>
      <protection/>
    </xf>
    <xf numFmtId="2" fontId="3" fillId="0" borderId="0" xfId="0" applyFont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9" fillId="0" borderId="0" xfId="0" applyFont="1" applyAlignment="1" applyProtection="1">
      <alignment/>
      <protection/>
    </xf>
    <xf numFmtId="2" fontId="16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center"/>
      <protection/>
    </xf>
    <xf numFmtId="167" fontId="15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fill"/>
      <protection/>
    </xf>
    <xf numFmtId="167" fontId="6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2" fontId="2" fillId="0" borderId="10" xfId="0" applyFont="1" applyBorder="1" applyAlignment="1" applyProtection="1">
      <alignment/>
      <protection/>
    </xf>
    <xf numFmtId="2" fontId="3" fillId="0" borderId="1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2" fontId="2" fillId="0" borderId="0" xfId="0" applyFont="1" applyBorder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horizontal="fill"/>
      <protection/>
    </xf>
    <xf numFmtId="1" fontId="14" fillId="0" borderId="0" xfId="0" applyNumberFormat="1" applyFont="1" applyFill="1" applyAlignment="1" applyProtection="1">
      <alignment/>
      <protection/>
    </xf>
    <xf numFmtId="7" fontId="3" fillId="0" borderId="0" xfId="0" applyNumberFormat="1" applyFont="1" applyAlignment="1" applyProtection="1">
      <alignment horizontal="left"/>
      <protection/>
    </xf>
    <xf numFmtId="164" fontId="70" fillId="0" borderId="0" xfId="0" applyNumberFormat="1" applyFont="1" applyAlignment="1" applyProtection="1">
      <alignment/>
      <protection/>
    </xf>
    <xf numFmtId="2" fontId="3" fillId="0" borderId="12" xfId="0" applyFont="1" applyBorder="1" applyAlignment="1" applyProtection="1">
      <alignment/>
      <protection/>
    </xf>
    <xf numFmtId="2" fontId="0" fillId="34" borderId="0" xfId="0" applyFill="1" applyAlignment="1" applyProtection="1">
      <alignment/>
      <protection/>
    </xf>
    <xf numFmtId="2" fontId="3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3" fillId="0" borderId="0" xfId="0" applyFont="1" applyBorder="1" applyAlignment="1" applyProtection="1">
      <alignment horizontal="center" textRotation="90"/>
      <protection/>
    </xf>
    <xf numFmtId="9" fontId="3" fillId="0" borderId="11" xfId="0" applyNumberFormat="1" applyFont="1" applyBorder="1" applyAlignment="1" applyProtection="1">
      <alignment horizontal="center"/>
      <protection/>
    </xf>
    <xf numFmtId="9" fontId="3" fillId="0" borderId="0" xfId="0" applyNumberFormat="1" applyFont="1" applyBorder="1" applyAlignment="1" applyProtection="1">
      <alignment horizontal="center"/>
      <protection/>
    </xf>
    <xf numFmtId="8" fontId="3" fillId="0" borderId="0" xfId="0" applyNumberFormat="1" applyFont="1" applyBorder="1" applyAlignment="1" applyProtection="1">
      <alignment horizontal="center"/>
      <protection/>
    </xf>
    <xf numFmtId="8" fontId="9" fillId="0" borderId="0" xfId="0" applyNumberFormat="1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 horizontal="left"/>
      <protection/>
    </xf>
    <xf numFmtId="174" fontId="3" fillId="0" borderId="0" xfId="0" applyNumberFormat="1" applyFont="1" applyBorder="1" applyAlignment="1" applyProtection="1">
      <alignment horizontal="center"/>
      <protection/>
    </xf>
    <xf numFmtId="2" fontId="3" fillId="0" borderId="11" xfId="0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8" fillId="0" borderId="0" xfId="0" applyFont="1" applyAlignment="1" applyProtection="1">
      <alignment horizontal="right"/>
      <protection/>
    </xf>
    <xf numFmtId="1" fontId="12" fillId="0" borderId="0" xfId="0" applyNumberFormat="1" applyFont="1" applyAlignment="1" applyProtection="1">
      <alignment horizontal="center"/>
      <protection/>
    </xf>
    <xf numFmtId="1" fontId="71" fillId="0" borderId="0" xfId="0" applyNumberFormat="1" applyFont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  <xf numFmtId="2" fontId="2" fillId="0" borderId="12" xfId="0" applyFont="1" applyBorder="1" applyAlignment="1" applyProtection="1">
      <alignment/>
      <protection/>
    </xf>
    <xf numFmtId="2" fontId="9" fillId="0" borderId="12" xfId="0" applyFont="1" applyBorder="1" applyAlignment="1" applyProtection="1">
      <alignment/>
      <protection/>
    </xf>
    <xf numFmtId="1" fontId="0" fillId="34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68" fillId="0" borderId="15" xfId="0" applyFont="1" applyBorder="1" applyAlignment="1" applyProtection="1">
      <alignment/>
      <protection locked="0"/>
    </xf>
    <xf numFmtId="172" fontId="6" fillId="0" borderId="17" xfId="0" applyNumberFormat="1" applyFont="1" applyBorder="1" applyAlignment="1" applyProtection="1">
      <alignment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7" fontId="3" fillId="0" borderId="0" xfId="0" applyNumberFormat="1" applyFont="1" applyAlignment="1" applyProtection="1">
      <alignment horizontal="fill"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2" fontId="3" fillId="0" borderId="0" xfId="0" applyFont="1" applyAlignment="1" applyProtection="1">
      <alignment/>
      <protection locked="0"/>
    </xf>
    <xf numFmtId="7" fontId="3" fillId="0" borderId="0" xfId="0" applyNumberFormat="1" applyFont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Alignment="1" applyProtection="1">
      <alignment/>
      <protection/>
    </xf>
    <xf numFmtId="9" fontId="18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fill"/>
      <protection/>
    </xf>
    <xf numFmtId="164" fontId="9" fillId="0" borderId="0" xfId="0" applyNumberFormat="1" applyFont="1" applyBorder="1" applyAlignment="1" applyProtection="1">
      <alignment/>
      <protection/>
    </xf>
    <xf numFmtId="2" fontId="0" fillId="0" borderId="0" xfId="0" applyFill="1" applyBorder="1" applyAlignment="1" applyProtection="1">
      <alignment/>
      <protection/>
    </xf>
    <xf numFmtId="2" fontId="25" fillId="2" borderId="0" xfId="0" applyNumberFormat="1" applyFont="1" applyFill="1" applyAlignment="1" applyProtection="1">
      <alignment/>
      <protection locked="0"/>
    </xf>
    <xf numFmtId="9" fontId="3" fillId="0" borderId="0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2" fontId="3" fillId="0" borderId="11" xfId="0" applyFont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6" fillId="0" borderId="11" xfId="0" applyNumberFormat="1" applyFont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8" fontId="3" fillId="0" borderId="18" xfId="0" applyNumberFormat="1" applyFont="1" applyBorder="1" applyAlignment="1" applyProtection="1">
      <alignment horizontal="center"/>
      <protection/>
    </xf>
    <xf numFmtId="8" fontId="3" fillId="0" borderId="19" xfId="0" applyNumberFormat="1" applyFont="1" applyBorder="1" applyAlignment="1" applyProtection="1">
      <alignment horizontal="center"/>
      <protection/>
    </xf>
    <xf numFmtId="8" fontId="3" fillId="0" borderId="20" xfId="0" applyNumberFormat="1" applyFont="1" applyBorder="1" applyAlignment="1" applyProtection="1">
      <alignment horizontal="center"/>
      <protection/>
    </xf>
    <xf numFmtId="8" fontId="3" fillId="0" borderId="11" xfId="0" applyNumberFormat="1" applyFont="1" applyBorder="1" applyAlignment="1" applyProtection="1">
      <alignment horizontal="center"/>
      <protection/>
    </xf>
    <xf numFmtId="8" fontId="3" fillId="0" borderId="21" xfId="0" applyNumberFormat="1" applyFont="1" applyBorder="1" applyAlignment="1" applyProtection="1">
      <alignment horizontal="center"/>
      <protection/>
    </xf>
    <xf numFmtId="174" fontId="3" fillId="0" borderId="11" xfId="0" applyNumberFormat="1" applyFont="1" applyBorder="1" applyAlignment="1" applyProtection="1">
      <alignment horizontal="left"/>
      <protection/>
    </xf>
    <xf numFmtId="2" fontId="3" fillId="0" borderId="0" xfId="0" applyFont="1" applyBorder="1" applyAlignment="1" applyProtection="1">
      <alignment/>
      <protection/>
    </xf>
    <xf numFmtId="44" fontId="27" fillId="0" borderId="0" xfId="44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24" fillId="0" borderId="0" xfId="0" applyNumberFormat="1" applyFont="1" applyFill="1" applyAlignment="1" applyProtection="1">
      <alignment horizontal="center"/>
      <protection/>
    </xf>
    <xf numFmtId="44" fontId="28" fillId="0" borderId="0" xfId="44" applyFont="1" applyFill="1" applyAlignment="1" applyProtection="1">
      <alignment horizontal="center"/>
      <protection/>
    </xf>
    <xf numFmtId="9" fontId="6" fillId="0" borderId="11" xfId="0" applyNumberFormat="1" applyFont="1" applyBorder="1" applyAlignment="1" applyProtection="1">
      <alignment horizontal="center"/>
      <protection locked="0"/>
    </xf>
    <xf numFmtId="164" fontId="72" fillId="0" borderId="0" xfId="0" applyNumberFormat="1" applyFont="1" applyAlignment="1" applyProtection="1">
      <alignment/>
      <protection/>
    </xf>
    <xf numFmtId="7" fontId="17" fillId="0" borderId="0" xfId="0" applyNumberFormat="1" applyFont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10" fontId="69" fillId="0" borderId="22" xfId="57" applyNumberFormat="1" applyFont="1" applyBorder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 locked="0"/>
    </xf>
    <xf numFmtId="44" fontId="3" fillId="0" borderId="0" xfId="0" applyNumberFormat="1" applyFont="1" applyAlignment="1" applyProtection="1">
      <alignment/>
      <protection/>
    </xf>
    <xf numFmtId="44" fontId="27" fillId="0" borderId="0" xfId="44" applyNumberFormat="1" applyFont="1" applyFill="1" applyAlignment="1" applyProtection="1">
      <alignment horizontal="center"/>
      <protection/>
    </xf>
    <xf numFmtId="44" fontId="9" fillId="0" borderId="0" xfId="0" applyNumberFormat="1" applyFont="1" applyAlignment="1" applyProtection="1">
      <alignment/>
      <protection/>
    </xf>
    <xf numFmtId="44" fontId="27" fillId="0" borderId="0" xfId="44" applyNumberFormat="1" applyFont="1" applyFill="1" applyBorder="1" applyAlignment="1" applyProtection="1">
      <alignment horizontal="center"/>
      <protection/>
    </xf>
    <xf numFmtId="44" fontId="3" fillId="0" borderId="0" xfId="0" applyNumberFormat="1" applyFont="1" applyAlignment="1" applyProtection="1" quotePrefix="1">
      <alignment/>
      <protection/>
    </xf>
    <xf numFmtId="2" fontId="1" fillId="0" borderId="11" xfId="0" applyNumberFormat="1" applyFont="1" applyFill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9" fillId="0" borderId="0" xfId="0" applyFont="1" applyBorder="1" applyAlignment="1" applyProtection="1">
      <alignment/>
      <protection/>
    </xf>
    <xf numFmtId="168" fontId="3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Border="1" applyAlignment="1" applyProtection="1">
      <alignment/>
      <protection/>
    </xf>
    <xf numFmtId="7" fontId="22" fillId="0" borderId="0" xfId="0" applyNumberFormat="1" applyFont="1" applyBorder="1" applyAlignment="1" applyProtection="1">
      <alignment horizontal="left"/>
      <protection/>
    </xf>
    <xf numFmtId="7" fontId="65" fillId="0" borderId="0" xfId="0" applyNumberFormat="1" applyFont="1" applyBorder="1" applyAlignment="1" applyProtection="1">
      <alignment horizontal="left"/>
      <protection/>
    </xf>
    <xf numFmtId="168" fontId="6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3" fillId="34" borderId="0" xfId="0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Alignment="1" applyProtection="1">
      <alignment horizontal="center"/>
      <protection/>
    </xf>
    <xf numFmtId="7" fontId="3" fillId="0" borderId="0" xfId="0" applyNumberFormat="1" applyFont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/>
      <protection/>
    </xf>
    <xf numFmtId="2" fontId="11" fillId="0" borderId="0" xfId="0" applyFont="1" applyFill="1" applyAlignment="1">
      <alignment horizontal="center"/>
    </xf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3" fillId="34" borderId="23" xfId="0" applyFont="1" applyFill="1" applyBorder="1" applyAlignment="1" applyProtection="1">
      <alignment horizontal="center"/>
      <protection/>
    </xf>
    <xf numFmtId="2" fontId="0" fillId="34" borderId="23" xfId="0" applyNumberFormat="1" applyFont="1" applyFill="1" applyBorder="1" applyAlignment="1" applyProtection="1">
      <alignment/>
      <protection/>
    </xf>
    <xf numFmtId="2" fontId="17" fillId="0" borderId="0" xfId="0" applyFont="1" applyAlignment="1" applyProtection="1">
      <alignment/>
      <protection/>
    </xf>
    <xf numFmtId="2" fontId="3" fillId="0" borderId="0" xfId="0" applyFont="1" applyBorder="1" applyAlignment="1" applyProtection="1">
      <alignment horizontal="center"/>
      <protection/>
    </xf>
    <xf numFmtId="2" fontId="0" fillId="2" borderId="0" xfId="0" applyNumberFormat="1" applyFont="1" applyFill="1" applyAlignment="1" applyProtection="1">
      <alignment/>
      <protection/>
    </xf>
    <xf numFmtId="9" fontId="18" fillId="0" borderId="24" xfId="0" applyNumberFormat="1" applyFont="1" applyBorder="1" applyAlignment="1" applyProtection="1" quotePrefix="1">
      <alignment horizontal="center"/>
      <protection/>
    </xf>
    <xf numFmtId="9" fontId="18" fillId="0" borderId="10" xfId="0" applyNumberFormat="1" applyFont="1" applyBorder="1" applyAlignment="1" applyProtection="1">
      <alignment horizontal="center"/>
      <protection/>
    </xf>
    <xf numFmtId="9" fontId="18" fillId="0" borderId="25" xfId="0" applyNumberFormat="1" applyFont="1" applyBorder="1" applyAlignment="1" applyProtection="1">
      <alignment horizontal="center"/>
      <protection/>
    </xf>
    <xf numFmtId="7" fontId="7" fillId="0" borderId="0" xfId="0" applyNumberFormat="1" applyFont="1" applyAlignment="1" applyProtection="1">
      <alignment horizontal="center"/>
      <protection/>
    </xf>
    <xf numFmtId="2" fontId="3" fillId="0" borderId="23" xfId="0" applyFont="1" applyBorder="1" applyAlignment="1" applyProtection="1">
      <alignment horizontal="center"/>
      <protection/>
    </xf>
    <xf numFmtId="2" fontId="0" fillId="2" borderId="2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tabSelected="1" zoomScaleSheetLayoutView="75" zoomScalePageLayoutView="0" workbookViewId="0" topLeftCell="A1">
      <selection activeCell="G39" sqref="G39"/>
    </sheetView>
  </sheetViews>
  <sheetFormatPr defaultColWidth="9.6640625" defaultRowHeight="15"/>
  <cols>
    <col min="1" max="1" width="15.77734375" style="1" customWidth="1"/>
    <col min="2" max="2" width="8.6640625" style="1" customWidth="1"/>
    <col min="3" max="3" width="4.10546875" style="1" customWidth="1"/>
    <col min="4" max="5" width="8.77734375" style="1" customWidth="1"/>
    <col min="6" max="6" width="10.77734375" style="10" customWidth="1"/>
    <col min="7" max="7" width="8.77734375" style="1" customWidth="1"/>
    <col min="8" max="8" width="9.77734375" style="1" customWidth="1"/>
    <col min="9" max="9" width="12.77734375" style="1" customWidth="1"/>
    <col min="10" max="11" width="9.77734375" style="1" customWidth="1"/>
    <col min="12" max="12" width="5.21484375" style="1" customWidth="1"/>
    <col min="13" max="15" width="9.6640625" style="1" customWidth="1"/>
    <col min="16" max="16" width="7.6640625" style="1" customWidth="1"/>
    <col min="17" max="17" width="9.6640625" style="1" customWidth="1"/>
    <col min="18" max="18" width="10.6640625" style="1" customWidth="1"/>
    <col min="19" max="16384" width="9.6640625" style="1" customWidth="1"/>
  </cols>
  <sheetData>
    <row r="1" spans="1:8" ht="31.5" customHeight="1">
      <c r="A1" s="91"/>
      <c r="H1" s="14"/>
    </row>
    <row r="2" spans="1:22" ht="19.5" customHeight="1">
      <c r="A2" s="210" t="s">
        <v>111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102"/>
      <c r="N2" s="102"/>
      <c r="V2" s="2" t="s">
        <v>0</v>
      </c>
    </row>
    <row r="3" spans="1:22" ht="27" customHeight="1" thickBot="1">
      <c r="A3" s="225" t="s">
        <v>93</v>
      </c>
      <c r="B3" s="213"/>
      <c r="C3" s="213"/>
      <c r="D3" s="213"/>
      <c r="E3" s="213"/>
      <c r="F3" s="213"/>
      <c r="G3" s="213"/>
      <c r="H3" s="213"/>
      <c r="I3" s="213"/>
      <c r="J3" s="213"/>
      <c r="K3" s="160"/>
      <c r="L3" s="103"/>
      <c r="M3" s="102"/>
      <c r="N3" s="102"/>
      <c r="V3" s="2"/>
    </row>
    <row r="4" spans="1:22" ht="27" customHeight="1" thickBot="1">
      <c r="A4" s="151">
        <v>13.5</v>
      </c>
      <c r="B4" s="104" t="s">
        <v>92</v>
      </c>
      <c r="C4" s="104"/>
      <c r="D4" s="104"/>
      <c r="E4" s="98">
        <v>700</v>
      </c>
      <c r="F4" s="76" t="s">
        <v>7</v>
      </c>
      <c r="G4" s="101">
        <f>M4/M5</f>
        <v>0.49950049950049946</v>
      </c>
      <c r="H4" s="78" t="s">
        <v>86</v>
      </c>
      <c r="I4" s="104"/>
      <c r="J4" s="104"/>
      <c r="K4" s="104"/>
      <c r="L4" s="103"/>
      <c r="M4" s="96">
        <v>150</v>
      </c>
      <c r="N4" s="105" t="s">
        <v>89</v>
      </c>
      <c r="V4" s="2"/>
    </row>
    <row r="5" spans="1:22" ht="21" customHeight="1" thickBot="1">
      <c r="A5" s="98">
        <v>23500</v>
      </c>
      <c r="B5" s="76" t="s">
        <v>94</v>
      </c>
      <c r="C5" s="106"/>
      <c r="D5" s="106"/>
      <c r="E5" s="107"/>
      <c r="F5" s="108"/>
      <c r="G5" s="101">
        <f>M6/M4</f>
        <v>0.37246913580246915</v>
      </c>
      <c r="H5" s="78" t="s">
        <v>87</v>
      </c>
      <c r="I5" s="106"/>
      <c r="J5" s="104"/>
      <c r="K5" s="104"/>
      <c r="L5" s="103"/>
      <c r="M5" s="97">
        <f>E4*0.429</f>
        <v>300.3</v>
      </c>
      <c r="N5" s="105" t="s">
        <v>90</v>
      </c>
      <c r="V5" s="2"/>
    </row>
    <row r="6" spans="1:22" ht="21" customHeight="1" thickBot="1">
      <c r="A6" s="109"/>
      <c r="B6" s="76"/>
      <c r="C6" s="106"/>
      <c r="D6" s="106"/>
      <c r="E6" s="107"/>
      <c r="F6" s="108"/>
      <c r="G6" s="191">
        <f>G4*G5</f>
        <v>0.1860485193818527</v>
      </c>
      <c r="H6" s="78" t="s">
        <v>88</v>
      </c>
      <c r="I6" s="106"/>
      <c r="J6" s="104"/>
      <c r="K6" s="104"/>
      <c r="L6" s="103"/>
      <c r="M6" s="100">
        <f>(E4+(E4*(A7/100)*0.25))/A4</f>
        <v>55.870370370370374</v>
      </c>
      <c r="N6" s="105" t="s">
        <v>91</v>
      </c>
      <c r="V6" s="2"/>
    </row>
    <row r="7" spans="1:22" ht="21" customHeight="1" thickBot="1">
      <c r="A7" s="98">
        <v>31</v>
      </c>
      <c r="B7" s="76" t="s">
        <v>12</v>
      </c>
      <c r="C7" s="106"/>
      <c r="D7" s="106"/>
      <c r="E7" s="106"/>
      <c r="F7" s="106"/>
      <c r="G7" s="99">
        <v>3.2</v>
      </c>
      <c r="H7" s="76" t="s">
        <v>8</v>
      </c>
      <c r="I7" s="77"/>
      <c r="J7" s="104"/>
      <c r="K7" s="104"/>
      <c r="L7" s="103"/>
      <c r="M7" s="102"/>
      <c r="N7" s="110"/>
      <c r="V7" s="2"/>
    </row>
    <row r="8" spans="1:14" ht="12" customHeight="1">
      <c r="A8" s="111"/>
      <c r="B8" s="159"/>
      <c r="C8" s="104"/>
      <c r="D8" s="104"/>
      <c r="E8" s="104"/>
      <c r="F8" s="104"/>
      <c r="G8" s="112"/>
      <c r="H8" s="159"/>
      <c r="I8" s="21"/>
      <c r="J8" s="138"/>
      <c r="K8" s="104"/>
      <c r="L8" s="103"/>
      <c r="M8" s="102"/>
      <c r="N8" s="102"/>
    </row>
    <row r="9" spans="1:22" ht="15">
      <c r="A9" s="18" t="s">
        <v>5</v>
      </c>
      <c r="B9" s="19" t="s">
        <v>66</v>
      </c>
      <c r="C9" s="113"/>
      <c r="D9" s="114"/>
      <c r="E9" s="20" t="s">
        <v>2</v>
      </c>
      <c r="F9" s="19" t="s">
        <v>4</v>
      </c>
      <c r="G9" s="114"/>
      <c r="H9" s="19" t="s">
        <v>3</v>
      </c>
      <c r="I9" s="20" t="s">
        <v>1</v>
      </c>
      <c r="J9" s="190" t="s">
        <v>114</v>
      </c>
      <c r="K9" s="20" t="s">
        <v>67</v>
      </c>
      <c r="L9" s="103"/>
      <c r="M9" s="102"/>
      <c r="N9" s="110" t="s">
        <v>0</v>
      </c>
      <c r="V9" s="2" t="s">
        <v>0</v>
      </c>
    </row>
    <row r="10" spans="1:22" ht="21" customHeight="1">
      <c r="A10" s="74" t="s">
        <v>60</v>
      </c>
      <c r="B10" s="115"/>
      <c r="C10" s="116"/>
      <c r="D10" s="115"/>
      <c r="E10" s="128"/>
      <c r="F10" s="73"/>
      <c r="G10" s="115"/>
      <c r="H10" s="73"/>
      <c r="I10" s="128"/>
      <c r="J10" s="102"/>
      <c r="K10" s="128"/>
      <c r="L10" s="103"/>
      <c r="M10" s="102"/>
      <c r="N10" s="110"/>
      <c r="V10" s="2"/>
    </row>
    <row r="11" spans="1:14" ht="16.5">
      <c r="A11" s="159" t="s">
        <v>31</v>
      </c>
      <c r="B11" s="21"/>
      <c r="C11" s="21"/>
      <c r="D11" s="117"/>
      <c r="E11" s="31" t="s">
        <v>35</v>
      </c>
      <c r="F11" s="192">
        <v>17.5</v>
      </c>
      <c r="G11" s="104"/>
      <c r="H11" s="75">
        <f>E4*A5/100</f>
        <v>164500</v>
      </c>
      <c r="I11" s="193">
        <f>ROUND((F11*H11),2)</f>
        <v>2878750</v>
      </c>
      <c r="J11" s="194">
        <f aca="true" t="shared" si="0" ref="J11:J16">I11/$H$11</f>
        <v>17.5</v>
      </c>
      <c r="K11" s="42" t="s">
        <v>30</v>
      </c>
      <c r="L11" s="103"/>
      <c r="M11" s="102"/>
      <c r="N11" s="102"/>
    </row>
    <row r="12" spans="1:14" ht="16.5">
      <c r="A12" s="159" t="s">
        <v>68</v>
      </c>
      <c r="B12" s="80">
        <f>ROUND((((A7-G7)/100*E4)+0.49),0)</f>
        <v>195</v>
      </c>
      <c r="C12" s="22" t="s">
        <v>6</v>
      </c>
      <c r="D12" s="23">
        <v>12</v>
      </c>
      <c r="E12" s="31" t="s">
        <v>35</v>
      </c>
      <c r="F12" s="192">
        <v>52.5</v>
      </c>
      <c r="G12" s="104"/>
      <c r="H12" s="24">
        <f>B12*D12</f>
        <v>2340</v>
      </c>
      <c r="I12" s="193">
        <f>ROUND((F12*H12),2)</f>
        <v>122850</v>
      </c>
      <c r="J12" s="194">
        <f t="shared" si="0"/>
        <v>0.7468085106382979</v>
      </c>
      <c r="K12" s="42" t="s">
        <v>30</v>
      </c>
      <c r="L12" s="103"/>
      <c r="M12" s="102"/>
      <c r="N12" s="102"/>
    </row>
    <row r="13" spans="1:14" ht="16.5">
      <c r="A13" s="159" t="s">
        <v>32</v>
      </c>
      <c r="B13" s="152"/>
      <c r="C13" s="21"/>
      <c r="D13" s="117"/>
      <c r="E13" s="31" t="s">
        <v>36</v>
      </c>
      <c r="F13" s="192">
        <v>55</v>
      </c>
      <c r="G13" s="104"/>
      <c r="H13" s="79">
        <f>IF(B13=N(ISNUMBER(B13)),ROUND(((E4*G6)*2.8),0),B13)</f>
        <v>365</v>
      </c>
      <c r="I13" s="193">
        <f>ROUND((F13*H13),2)</f>
        <v>20075</v>
      </c>
      <c r="J13" s="194">
        <f t="shared" si="0"/>
        <v>0.12203647416413374</v>
      </c>
      <c r="K13" s="42" t="s">
        <v>30</v>
      </c>
      <c r="L13" s="103"/>
      <c r="M13" s="102"/>
      <c r="N13" s="102"/>
    </row>
    <row r="14" spans="1:14" ht="16.5">
      <c r="A14" s="159" t="s">
        <v>63</v>
      </c>
      <c r="B14" s="152"/>
      <c r="C14" s="21"/>
      <c r="D14" s="117"/>
      <c r="E14" s="31" t="s">
        <v>36</v>
      </c>
      <c r="F14" s="192">
        <v>1350</v>
      </c>
      <c r="G14" s="104"/>
      <c r="H14" s="80">
        <f>IF(B14=N(ISNUMBER(B14)),G77-ROUND(((A7/100*E4)+0.49),0),B14)</f>
        <v>101</v>
      </c>
      <c r="I14" s="193">
        <f>ROUND((F14*H14),2)</f>
        <v>136350</v>
      </c>
      <c r="J14" s="194">
        <f t="shared" si="0"/>
        <v>0.8288753799392097</v>
      </c>
      <c r="K14" s="42" t="s">
        <v>30</v>
      </c>
      <c r="L14" s="103"/>
      <c r="M14" s="102"/>
      <c r="N14" s="102"/>
    </row>
    <row r="15" spans="1:22" ht="16.5">
      <c r="A15" s="159" t="s">
        <v>108</v>
      </c>
      <c r="B15" s="21"/>
      <c r="C15" s="21"/>
      <c r="D15" s="117"/>
      <c r="E15" s="31" t="s">
        <v>36</v>
      </c>
      <c r="F15" s="192">
        <v>54.72</v>
      </c>
      <c r="G15" s="104"/>
      <c r="H15" s="81">
        <f>E4</f>
        <v>700</v>
      </c>
      <c r="I15" s="193">
        <f>ROUND((F15*H15),2)</f>
        <v>38304</v>
      </c>
      <c r="J15" s="194">
        <f t="shared" si="0"/>
        <v>0.23285106382978724</v>
      </c>
      <c r="K15" s="42" t="s">
        <v>30</v>
      </c>
      <c r="L15" s="103"/>
      <c r="M15" s="102"/>
      <c r="N15" s="110" t="s">
        <v>0</v>
      </c>
      <c r="V15" s="2" t="s">
        <v>0</v>
      </c>
    </row>
    <row r="16" spans="1:27" ht="21" customHeight="1">
      <c r="A16" s="106" t="s">
        <v>61</v>
      </c>
      <c r="B16" s="104"/>
      <c r="C16" s="104"/>
      <c r="D16" s="104"/>
      <c r="E16" s="104"/>
      <c r="F16" s="159"/>
      <c r="G16" s="193">
        <f>ROUND((I16/$E$4),2)</f>
        <v>4566.18</v>
      </c>
      <c r="H16" s="104" t="s">
        <v>77</v>
      </c>
      <c r="I16" s="195">
        <f>SUM(I9:I15)</f>
        <v>3196329</v>
      </c>
      <c r="J16" s="196">
        <f t="shared" si="0"/>
        <v>19.43057142857143</v>
      </c>
      <c r="K16" s="42" t="s">
        <v>30</v>
      </c>
      <c r="L16" s="103"/>
      <c r="M16" s="119" t="s">
        <v>0</v>
      </c>
      <c r="N16" s="110" t="s">
        <v>0</v>
      </c>
      <c r="O16" s="5" t="s">
        <v>0</v>
      </c>
      <c r="V16" s="2" t="s">
        <v>0</v>
      </c>
      <c r="AA16" s="4" t="s">
        <v>0</v>
      </c>
    </row>
    <row r="17" spans="1:27" ht="21" customHeight="1">
      <c r="A17" s="62" t="s">
        <v>59</v>
      </c>
      <c r="B17" s="104"/>
      <c r="C17" s="104"/>
      <c r="D17" s="104"/>
      <c r="E17" s="104"/>
      <c r="F17" s="104"/>
      <c r="G17" s="104"/>
      <c r="H17" s="104"/>
      <c r="I17" s="104"/>
      <c r="J17" s="183"/>
      <c r="K17" s="42"/>
      <c r="L17" s="103"/>
      <c r="M17" s="102"/>
      <c r="N17" s="110"/>
      <c r="V17" s="2" t="s">
        <v>0</v>
      </c>
      <c r="AA17" s="4" t="s">
        <v>0</v>
      </c>
    </row>
    <row r="18" spans="1:22" ht="15">
      <c r="A18" s="104"/>
      <c r="B18" s="42" t="s">
        <v>62</v>
      </c>
      <c r="C18" s="104"/>
      <c r="D18" s="102"/>
      <c r="E18" s="104"/>
      <c r="F18" s="104"/>
      <c r="G18" s="104"/>
      <c r="H18" s="104"/>
      <c r="I18" s="104"/>
      <c r="J18" s="183"/>
      <c r="K18" s="42"/>
      <c r="L18" s="103"/>
      <c r="M18" s="102"/>
      <c r="N18" s="102"/>
      <c r="V18" s="2" t="s">
        <v>0</v>
      </c>
    </row>
    <row r="19" spans="1:22" ht="16.5">
      <c r="A19" s="25" t="str">
        <f aca="true" t="shared" si="1" ref="A19:A25">A80</f>
        <v>Corn Silage, KP</v>
      </c>
      <c r="B19" s="63">
        <v>0.07</v>
      </c>
      <c r="C19" s="104"/>
      <c r="D19" s="102"/>
      <c r="E19" s="69" t="str">
        <f aca="true" t="shared" si="2" ref="E19:E27">IF(C80&gt;99,"Cwt",IF(C80&gt;0,"Bushel","Ton"))</f>
        <v>Ton</v>
      </c>
      <c r="F19" s="192">
        <v>40</v>
      </c>
      <c r="G19" s="104"/>
      <c r="H19" s="70">
        <f aca="true" t="shared" si="3" ref="H19:H27">ROUND(IF(C80&lt;=0,(J80*(1+B19)),(J80*2000)/C80*(1+B19)),2)</f>
        <v>9679.92</v>
      </c>
      <c r="I19" s="25">
        <f aca="true" t="shared" si="4" ref="I19:I46">ROUND((F19*H19),2)</f>
        <v>387196.8</v>
      </c>
      <c r="J19" s="182">
        <f aca="true" t="shared" si="5" ref="J19:J49">I19/$H$11</f>
        <v>2.3537799392097263</v>
      </c>
      <c r="K19" s="42" t="s">
        <v>30</v>
      </c>
      <c r="L19" s="103"/>
      <c r="M19" s="102"/>
      <c r="N19" s="102"/>
      <c r="V19" s="2"/>
    </row>
    <row r="20" spans="1:22" ht="16.5">
      <c r="A20" s="25" t="str">
        <f t="shared" si="1"/>
        <v>Small Grain Silage</v>
      </c>
      <c r="B20" s="63">
        <v>0.07</v>
      </c>
      <c r="C20" s="104"/>
      <c r="D20" s="102"/>
      <c r="E20" s="69" t="str">
        <f t="shared" si="2"/>
        <v>Ton</v>
      </c>
      <c r="F20" s="192">
        <v>35</v>
      </c>
      <c r="G20" s="104"/>
      <c r="H20" s="70">
        <f t="shared" si="3"/>
        <v>2763.38</v>
      </c>
      <c r="I20" s="25">
        <f t="shared" si="4"/>
        <v>96718.3</v>
      </c>
      <c r="J20" s="182">
        <f t="shared" si="5"/>
        <v>0.5879531914893618</v>
      </c>
      <c r="K20" s="42" t="s">
        <v>30</v>
      </c>
      <c r="L20" s="103"/>
      <c r="M20" s="102"/>
      <c r="N20" s="102"/>
      <c r="V20" s="2" t="s">
        <v>0</v>
      </c>
    </row>
    <row r="21" spans="1:27" ht="16.5">
      <c r="A21" s="25" t="str">
        <f t="shared" si="1"/>
        <v>Grass Hay</v>
      </c>
      <c r="B21" s="63">
        <v>0.05</v>
      </c>
      <c r="C21" s="104"/>
      <c r="D21" s="102"/>
      <c r="E21" s="69" t="str">
        <f t="shared" si="2"/>
        <v>Ton</v>
      </c>
      <c r="F21" s="192">
        <v>88</v>
      </c>
      <c r="G21" s="104"/>
      <c r="H21" s="70">
        <f t="shared" si="3"/>
        <v>613.02</v>
      </c>
      <c r="I21" s="25">
        <f t="shared" si="4"/>
        <v>53945.76</v>
      </c>
      <c r="J21" s="182">
        <f t="shared" si="5"/>
        <v>0.3279377507598784</v>
      </c>
      <c r="K21" s="42" t="s">
        <v>30</v>
      </c>
      <c r="L21" s="103"/>
      <c r="M21" s="102"/>
      <c r="N21" s="110" t="s">
        <v>0</v>
      </c>
      <c r="V21" s="2" t="s">
        <v>0</v>
      </c>
      <c r="AA21" s="4" t="s">
        <v>0</v>
      </c>
    </row>
    <row r="22" spans="1:27" ht="16.5">
      <c r="A22" s="25" t="str">
        <f t="shared" si="1"/>
        <v>SBOM 48%</v>
      </c>
      <c r="B22" s="63">
        <v>0.02</v>
      </c>
      <c r="C22" s="104"/>
      <c r="D22" s="102"/>
      <c r="E22" s="69" t="str">
        <f t="shared" si="2"/>
        <v>Ton</v>
      </c>
      <c r="F22" s="192">
        <v>450</v>
      </c>
      <c r="G22" s="104"/>
      <c r="H22" s="70">
        <f t="shared" si="3"/>
        <v>985.11</v>
      </c>
      <c r="I22" s="25">
        <f t="shared" si="4"/>
        <v>443299.5</v>
      </c>
      <c r="J22" s="182">
        <f t="shared" si="5"/>
        <v>2.6948297872340428</v>
      </c>
      <c r="K22" s="42" t="s">
        <v>30</v>
      </c>
      <c r="L22" s="103"/>
      <c r="M22" s="119" t="s">
        <v>0</v>
      </c>
      <c r="N22" s="110" t="s">
        <v>0</v>
      </c>
      <c r="O22" s="5" t="s">
        <v>0</v>
      </c>
      <c r="V22" s="2" t="s">
        <v>0</v>
      </c>
      <c r="AA22" s="4" t="s">
        <v>0</v>
      </c>
    </row>
    <row r="23" spans="1:27" ht="16.5">
      <c r="A23" s="25" t="str">
        <f t="shared" si="1"/>
        <v>Corn Grain</v>
      </c>
      <c r="B23" s="63">
        <v>0.02</v>
      </c>
      <c r="C23" s="104"/>
      <c r="D23" s="102"/>
      <c r="E23" s="69" t="str">
        <f t="shared" si="2"/>
        <v>Bushel</v>
      </c>
      <c r="F23" s="192">
        <v>7</v>
      </c>
      <c r="G23" s="104"/>
      <c r="H23" s="70">
        <f t="shared" si="3"/>
        <v>63750</v>
      </c>
      <c r="I23" s="25">
        <f t="shared" si="4"/>
        <v>446250</v>
      </c>
      <c r="J23" s="182">
        <f t="shared" si="5"/>
        <v>2.7127659574468086</v>
      </c>
      <c r="K23" s="42" t="s">
        <v>30</v>
      </c>
      <c r="L23" s="103"/>
      <c r="M23" s="119" t="s">
        <v>0</v>
      </c>
      <c r="N23" s="110" t="s">
        <v>0</v>
      </c>
      <c r="O23" s="5" t="s">
        <v>0</v>
      </c>
      <c r="V23" s="2" t="s">
        <v>0</v>
      </c>
      <c r="AA23" s="4" t="s">
        <v>0</v>
      </c>
    </row>
    <row r="24" spans="1:27" ht="16.5">
      <c r="A24" s="66" t="str">
        <f t="shared" si="1"/>
        <v>Wet Brewers Grains</v>
      </c>
      <c r="B24" s="63">
        <v>0.02</v>
      </c>
      <c r="C24" s="104"/>
      <c r="D24" s="102"/>
      <c r="E24" s="69" t="str">
        <f t="shared" si="2"/>
        <v>Ton</v>
      </c>
      <c r="F24" s="192">
        <v>34</v>
      </c>
      <c r="G24" s="104"/>
      <c r="H24" s="70">
        <f t="shared" si="3"/>
        <v>653.31</v>
      </c>
      <c r="I24" s="25">
        <f t="shared" si="4"/>
        <v>22212.54</v>
      </c>
      <c r="J24" s="182">
        <f t="shared" si="5"/>
        <v>0.13503063829787235</v>
      </c>
      <c r="K24" s="42" t="s">
        <v>30</v>
      </c>
      <c r="L24" s="103"/>
      <c r="M24" s="119"/>
      <c r="N24" s="110"/>
      <c r="O24" s="5"/>
      <c r="V24" s="2"/>
      <c r="AA24" s="4"/>
    </row>
    <row r="25" spans="1:22" ht="16.5">
      <c r="A25" s="25" t="str">
        <f t="shared" si="1"/>
        <v>Custom Mix</v>
      </c>
      <c r="B25" s="63">
        <v>0.02</v>
      </c>
      <c r="C25" s="104"/>
      <c r="D25" s="102"/>
      <c r="E25" s="69" t="str">
        <f t="shared" si="2"/>
        <v>Ton</v>
      </c>
      <c r="F25" s="192">
        <v>400</v>
      </c>
      <c r="G25" s="104"/>
      <c r="H25" s="70">
        <f t="shared" si="3"/>
        <v>293.99</v>
      </c>
      <c r="I25" s="25">
        <f t="shared" si="4"/>
        <v>117596</v>
      </c>
      <c r="J25" s="182">
        <f t="shared" si="5"/>
        <v>0.7148693009118541</v>
      </c>
      <c r="K25" s="42" t="s">
        <v>30</v>
      </c>
      <c r="L25" s="103"/>
      <c r="M25" s="119" t="s">
        <v>0</v>
      </c>
      <c r="N25" s="110" t="s">
        <v>0</v>
      </c>
      <c r="O25" s="5" t="s">
        <v>0</v>
      </c>
      <c r="V25" s="2" t="s">
        <v>0</v>
      </c>
    </row>
    <row r="26" spans="1:22" ht="16.5">
      <c r="A26" s="25" t="s">
        <v>83</v>
      </c>
      <c r="B26" s="63">
        <v>0.02</v>
      </c>
      <c r="C26" s="104"/>
      <c r="D26" s="102"/>
      <c r="E26" s="69" t="str">
        <f t="shared" si="2"/>
        <v>Ton</v>
      </c>
      <c r="F26" s="192">
        <v>140</v>
      </c>
      <c r="G26" s="104"/>
      <c r="H26" s="70">
        <f t="shared" si="3"/>
        <v>381.1</v>
      </c>
      <c r="I26" s="25">
        <f t="shared" si="4"/>
        <v>53354</v>
      </c>
      <c r="J26" s="182">
        <f t="shared" si="5"/>
        <v>0.3243404255319149</v>
      </c>
      <c r="K26" s="42" t="s">
        <v>30</v>
      </c>
      <c r="L26" s="103"/>
      <c r="M26" s="119" t="s">
        <v>0</v>
      </c>
      <c r="N26" s="110" t="s">
        <v>0</v>
      </c>
      <c r="O26" s="5" t="s">
        <v>0</v>
      </c>
      <c r="V26" s="2" t="s">
        <v>0</v>
      </c>
    </row>
    <row r="27" spans="1:22" ht="16.5">
      <c r="A27" s="25" t="str">
        <f>A88</f>
        <v>Whole Cotton Seed</v>
      </c>
      <c r="B27" s="63">
        <v>0.02</v>
      </c>
      <c r="C27" s="104"/>
      <c r="D27" s="102"/>
      <c r="E27" s="69" t="str">
        <f t="shared" si="2"/>
        <v>Ton</v>
      </c>
      <c r="F27" s="192">
        <v>185</v>
      </c>
      <c r="G27" s="104"/>
      <c r="H27" s="70">
        <f t="shared" si="3"/>
        <v>364.85</v>
      </c>
      <c r="I27" s="25">
        <f t="shared" si="4"/>
        <v>67497.25</v>
      </c>
      <c r="J27" s="182">
        <f t="shared" si="5"/>
        <v>0.4103176291793313</v>
      </c>
      <c r="K27" s="42" t="s">
        <v>30</v>
      </c>
      <c r="L27" s="103"/>
      <c r="M27" s="119"/>
      <c r="N27" s="110"/>
      <c r="O27" s="5"/>
      <c r="V27" s="2"/>
    </row>
    <row r="28" spans="1:22" ht="16.5">
      <c r="A28" s="159" t="s">
        <v>38</v>
      </c>
      <c r="B28" s="104"/>
      <c r="C28" s="104"/>
      <c r="D28" s="104"/>
      <c r="E28" s="31" t="s">
        <v>37</v>
      </c>
      <c r="F28" s="192">
        <v>25</v>
      </c>
      <c r="G28" s="104"/>
      <c r="H28" s="24">
        <f>1.25*E4</f>
        <v>875</v>
      </c>
      <c r="I28" s="25">
        <f t="shared" si="4"/>
        <v>21875</v>
      </c>
      <c r="J28" s="182">
        <f t="shared" si="5"/>
        <v>0.13297872340425532</v>
      </c>
      <c r="K28" s="42" t="s">
        <v>30</v>
      </c>
      <c r="L28" s="103"/>
      <c r="M28" s="119"/>
      <c r="N28" s="110"/>
      <c r="O28" s="5"/>
      <c r="V28" s="2"/>
    </row>
    <row r="29" spans="1:22" ht="16.5">
      <c r="A29" s="159" t="s">
        <v>39</v>
      </c>
      <c r="B29" s="104"/>
      <c r="C29" s="104"/>
      <c r="D29" s="104"/>
      <c r="E29" s="31" t="s">
        <v>35</v>
      </c>
      <c r="F29" s="192">
        <v>110</v>
      </c>
      <c r="G29" s="104"/>
      <c r="H29" s="24">
        <f>E4*0.27</f>
        <v>189</v>
      </c>
      <c r="I29" s="25">
        <f t="shared" si="4"/>
        <v>20790</v>
      </c>
      <c r="J29" s="182">
        <f t="shared" si="5"/>
        <v>0.12638297872340426</v>
      </c>
      <c r="K29" s="42" t="s">
        <v>30</v>
      </c>
      <c r="L29" s="103"/>
      <c r="M29" s="119"/>
      <c r="N29" s="110"/>
      <c r="O29" s="5"/>
      <c r="V29" s="2"/>
    </row>
    <row r="30" spans="1:22" ht="16.5">
      <c r="A30" s="159" t="s">
        <v>40</v>
      </c>
      <c r="B30" s="104"/>
      <c r="C30" s="104"/>
      <c r="D30" s="104"/>
      <c r="E30" s="31" t="s">
        <v>35</v>
      </c>
      <c r="F30" s="192">
        <v>17.5</v>
      </c>
      <c r="G30" s="104"/>
      <c r="H30" s="24">
        <f>E4*2.35</f>
        <v>1645</v>
      </c>
      <c r="I30" s="25">
        <f t="shared" si="4"/>
        <v>28787.5</v>
      </c>
      <c r="J30" s="182">
        <f t="shared" si="5"/>
        <v>0.175</v>
      </c>
      <c r="K30" s="42" t="s">
        <v>30</v>
      </c>
      <c r="L30" s="103"/>
      <c r="M30" s="119"/>
      <c r="N30" s="110"/>
      <c r="O30" s="5"/>
      <c r="V30" s="2"/>
    </row>
    <row r="31" spans="1:22" ht="16.5">
      <c r="A31" s="159" t="s">
        <v>41</v>
      </c>
      <c r="B31" s="104"/>
      <c r="C31" s="104"/>
      <c r="D31" s="104"/>
      <c r="E31" s="31" t="s">
        <v>36</v>
      </c>
      <c r="F31" s="192">
        <v>30</v>
      </c>
      <c r="G31" s="104"/>
      <c r="H31" s="24">
        <f>$E$4</f>
        <v>700</v>
      </c>
      <c r="I31" s="25">
        <f t="shared" si="4"/>
        <v>21000</v>
      </c>
      <c r="J31" s="182">
        <f t="shared" si="5"/>
        <v>0.1276595744680851</v>
      </c>
      <c r="K31" s="42" t="s">
        <v>30</v>
      </c>
      <c r="L31" s="103"/>
      <c r="M31" s="119"/>
      <c r="N31" s="110"/>
      <c r="O31" s="5"/>
      <c r="V31" s="2"/>
    </row>
    <row r="32" spans="1:22" ht="16.5">
      <c r="A32" s="159" t="s">
        <v>42</v>
      </c>
      <c r="B32" s="104"/>
      <c r="C32" s="104"/>
      <c r="D32" s="104"/>
      <c r="E32" s="31" t="s">
        <v>36</v>
      </c>
      <c r="F32" s="192">
        <v>109</v>
      </c>
      <c r="G32" s="104"/>
      <c r="H32" s="24">
        <f>$E$4</f>
        <v>700</v>
      </c>
      <c r="I32" s="25">
        <f t="shared" si="4"/>
        <v>76300</v>
      </c>
      <c r="J32" s="182">
        <f t="shared" si="5"/>
        <v>0.46382978723404256</v>
      </c>
      <c r="K32" s="42" t="s">
        <v>30</v>
      </c>
      <c r="L32" s="103"/>
      <c r="M32" s="119"/>
      <c r="N32" s="110"/>
      <c r="O32" s="5"/>
      <c r="V32" s="2"/>
    </row>
    <row r="33" spans="1:22" ht="16.5">
      <c r="A33" s="159" t="s">
        <v>97</v>
      </c>
      <c r="B33" s="104"/>
      <c r="C33" s="104"/>
      <c r="D33" s="104"/>
      <c r="E33" s="31" t="s">
        <v>36</v>
      </c>
      <c r="F33" s="192">
        <v>160</v>
      </c>
      <c r="G33" s="104"/>
      <c r="H33" s="24">
        <f>$E$4</f>
        <v>700</v>
      </c>
      <c r="I33" s="25">
        <f t="shared" si="4"/>
        <v>112000</v>
      </c>
      <c r="J33" s="182">
        <f t="shared" si="5"/>
        <v>0.6808510638297872</v>
      </c>
      <c r="K33" s="42" t="s">
        <v>30</v>
      </c>
      <c r="L33" s="103"/>
      <c r="M33" s="119"/>
      <c r="N33" s="110"/>
      <c r="O33" s="5"/>
      <c r="V33" s="2"/>
    </row>
    <row r="34" spans="1:22" ht="16.5">
      <c r="A34" s="159" t="s">
        <v>43</v>
      </c>
      <c r="B34" s="104"/>
      <c r="C34" s="104"/>
      <c r="D34" s="104"/>
      <c r="E34" s="31" t="s">
        <v>36</v>
      </c>
      <c r="F34" s="192">
        <v>130</v>
      </c>
      <c r="G34" s="104"/>
      <c r="H34" s="24">
        <f>$E$4</f>
        <v>700</v>
      </c>
      <c r="I34" s="25">
        <f t="shared" si="4"/>
        <v>91000</v>
      </c>
      <c r="J34" s="182">
        <f t="shared" si="5"/>
        <v>0.5531914893617021</v>
      </c>
      <c r="K34" s="42" t="s">
        <v>30</v>
      </c>
      <c r="L34" s="103"/>
      <c r="M34" s="119"/>
      <c r="N34" s="122"/>
      <c r="O34" s="5"/>
      <c r="V34" s="2"/>
    </row>
    <row r="35" spans="1:22" ht="16.5">
      <c r="A35" s="159" t="s">
        <v>98</v>
      </c>
      <c r="B35" s="104"/>
      <c r="C35" s="104"/>
      <c r="D35" s="104"/>
      <c r="E35" s="31" t="s">
        <v>35</v>
      </c>
      <c r="F35" s="192">
        <v>0.81</v>
      </c>
      <c r="G35" s="104"/>
      <c r="H35" s="21">
        <f>H11</f>
        <v>164500</v>
      </c>
      <c r="I35" s="25">
        <f t="shared" si="4"/>
        <v>133245</v>
      </c>
      <c r="J35" s="182">
        <f t="shared" si="5"/>
        <v>0.81</v>
      </c>
      <c r="K35" s="42" t="s">
        <v>30</v>
      </c>
      <c r="L35" s="103"/>
      <c r="M35" s="119"/>
      <c r="N35" s="110"/>
      <c r="O35" s="5"/>
      <c r="V35" s="2"/>
    </row>
    <row r="36" spans="1:22" ht="16.5">
      <c r="A36" s="212" t="s">
        <v>44</v>
      </c>
      <c r="B36" s="213"/>
      <c r="C36" s="104"/>
      <c r="D36" s="104"/>
      <c r="E36" s="31" t="s">
        <v>35</v>
      </c>
      <c r="F36" s="192">
        <v>0.27</v>
      </c>
      <c r="G36" s="104"/>
      <c r="H36" s="21">
        <f>H11</f>
        <v>164500</v>
      </c>
      <c r="I36" s="25">
        <f t="shared" si="4"/>
        <v>44415</v>
      </c>
      <c r="J36" s="182">
        <f t="shared" si="5"/>
        <v>0.27</v>
      </c>
      <c r="K36" s="42" t="s">
        <v>30</v>
      </c>
      <c r="L36" s="103"/>
      <c r="M36" s="119"/>
      <c r="N36" s="110"/>
      <c r="O36" s="5"/>
      <c r="V36" s="2"/>
    </row>
    <row r="37" spans="1:22" s="14" customFormat="1" ht="16.5">
      <c r="A37" s="71" t="s">
        <v>56</v>
      </c>
      <c r="B37" s="152"/>
      <c r="C37" s="104" t="s">
        <v>57</v>
      </c>
      <c r="D37" s="104"/>
      <c r="E37" s="42" t="s">
        <v>36</v>
      </c>
      <c r="F37" s="197">
        <f>(I12*0.02+(B12*5))/H37</f>
        <v>17.6</v>
      </c>
      <c r="G37" s="104"/>
      <c r="H37" s="72">
        <f>B12</f>
        <v>195</v>
      </c>
      <c r="I37" s="25">
        <f>IF(B37=N(ISNUMBER(B37)),ROUND((F37*H37),2),ROUND((B37*H37),2))</f>
        <v>3432</v>
      </c>
      <c r="J37" s="182">
        <f t="shared" si="5"/>
        <v>0.02086322188449848</v>
      </c>
      <c r="K37" s="42" t="s">
        <v>30</v>
      </c>
      <c r="L37" s="120"/>
      <c r="M37" s="121"/>
      <c r="N37" s="122"/>
      <c r="O37" s="53"/>
      <c r="V37" s="13"/>
    </row>
    <row r="38" spans="1:27" ht="16.5">
      <c r="A38" s="212" t="s">
        <v>45</v>
      </c>
      <c r="B38" s="213"/>
      <c r="C38" s="104"/>
      <c r="D38" s="104"/>
      <c r="E38" s="31" t="s">
        <v>36</v>
      </c>
      <c r="F38" s="192">
        <v>130</v>
      </c>
      <c r="G38" s="104"/>
      <c r="H38" s="24">
        <f>$E$4</f>
        <v>700</v>
      </c>
      <c r="I38" s="25">
        <f t="shared" si="4"/>
        <v>91000</v>
      </c>
      <c r="J38" s="182">
        <f t="shared" si="5"/>
        <v>0.5531914893617021</v>
      </c>
      <c r="K38" s="42" t="s">
        <v>30</v>
      </c>
      <c r="L38" s="103"/>
      <c r="M38" s="102"/>
      <c r="N38" s="110" t="s">
        <v>0</v>
      </c>
      <c r="V38" s="2" t="s">
        <v>0</v>
      </c>
      <c r="AA38" s="8" t="s">
        <v>0</v>
      </c>
    </row>
    <row r="39" spans="1:22" ht="15" customHeight="1">
      <c r="A39" s="212" t="s">
        <v>46</v>
      </c>
      <c r="B39" s="213"/>
      <c r="C39" s="104"/>
      <c r="D39" s="104"/>
      <c r="E39" s="31" t="s">
        <v>36</v>
      </c>
      <c r="F39" s="192">
        <v>45</v>
      </c>
      <c r="G39" s="104"/>
      <c r="H39" s="24">
        <f>$E$4</f>
        <v>700</v>
      </c>
      <c r="I39" s="25">
        <f t="shared" si="4"/>
        <v>31500</v>
      </c>
      <c r="J39" s="182">
        <f t="shared" si="5"/>
        <v>0.19148936170212766</v>
      </c>
      <c r="K39" s="42" t="s">
        <v>30</v>
      </c>
      <c r="L39" s="103"/>
      <c r="M39" s="102"/>
      <c r="N39" s="110" t="s">
        <v>0</v>
      </c>
      <c r="V39" s="2" t="s">
        <v>0</v>
      </c>
    </row>
    <row r="40" spans="1:22" ht="15" customHeight="1">
      <c r="A40" s="159" t="s">
        <v>47</v>
      </c>
      <c r="B40" s="104"/>
      <c r="C40" s="104"/>
      <c r="D40" s="104"/>
      <c r="E40" s="31" t="s">
        <v>36</v>
      </c>
      <c r="F40" s="192">
        <v>70</v>
      </c>
      <c r="G40" s="104"/>
      <c r="H40" s="24">
        <f>$E$4</f>
        <v>700</v>
      </c>
      <c r="I40" s="25">
        <f t="shared" si="4"/>
        <v>49000</v>
      </c>
      <c r="J40" s="182">
        <f t="shared" si="5"/>
        <v>0.2978723404255319</v>
      </c>
      <c r="K40" s="42" t="s">
        <v>30</v>
      </c>
      <c r="L40" s="103"/>
      <c r="M40" s="102"/>
      <c r="N40" s="110"/>
      <c r="V40" s="2"/>
    </row>
    <row r="41" spans="1:22" ht="15" customHeight="1">
      <c r="A41" s="71" t="s">
        <v>64</v>
      </c>
      <c r="B41" s="153">
        <v>8</v>
      </c>
      <c r="C41" s="123">
        <f>ROUND((E4/B41),0)</f>
        <v>88</v>
      </c>
      <c r="D41" s="104" t="s">
        <v>65</v>
      </c>
      <c r="E41" s="42" t="s">
        <v>58</v>
      </c>
      <c r="F41" s="192">
        <f>1.0765*26000</f>
        <v>27989</v>
      </c>
      <c r="G41" s="121"/>
      <c r="H41" s="75">
        <f>ROUND((B41-1),2)</f>
        <v>7</v>
      </c>
      <c r="I41" s="25">
        <f t="shared" si="4"/>
        <v>195923</v>
      </c>
      <c r="J41" s="182">
        <f t="shared" si="5"/>
        <v>1.1910212765957446</v>
      </c>
      <c r="K41" s="42" t="s">
        <v>30</v>
      </c>
      <c r="L41" s="103"/>
      <c r="M41" s="102"/>
      <c r="N41" s="110"/>
      <c r="V41" s="2"/>
    </row>
    <row r="42" spans="1:22" ht="15" customHeight="1">
      <c r="A42" s="159" t="s">
        <v>48</v>
      </c>
      <c r="B42" s="104"/>
      <c r="C42" s="104"/>
      <c r="D42" s="104"/>
      <c r="E42" s="31" t="s">
        <v>36</v>
      </c>
      <c r="F42" s="192">
        <v>65</v>
      </c>
      <c r="G42" s="104"/>
      <c r="H42" s="24">
        <f>$E$4</f>
        <v>700</v>
      </c>
      <c r="I42" s="25">
        <f t="shared" si="4"/>
        <v>45500</v>
      </c>
      <c r="J42" s="182">
        <f t="shared" si="5"/>
        <v>0.2765957446808511</v>
      </c>
      <c r="K42" s="42" t="s">
        <v>30</v>
      </c>
      <c r="L42" s="103"/>
      <c r="M42" s="102"/>
      <c r="N42" s="110"/>
      <c r="V42" s="2"/>
    </row>
    <row r="43" spans="1:22" ht="16.5">
      <c r="A43" s="124" t="s">
        <v>49</v>
      </c>
      <c r="B43" s="118"/>
      <c r="C43" s="118"/>
      <c r="D43" s="118"/>
      <c r="E43" s="31" t="s">
        <v>36</v>
      </c>
      <c r="F43" s="192">
        <v>17.5</v>
      </c>
      <c r="G43" s="104"/>
      <c r="H43" s="24">
        <f>$E$4</f>
        <v>700</v>
      </c>
      <c r="I43" s="25">
        <f t="shared" si="4"/>
        <v>12250</v>
      </c>
      <c r="J43" s="182">
        <f t="shared" si="5"/>
        <v>0.07446808510638298</v>
      </c>
      <c r="K43" s="42" t="s">
        <v>30</v>
      </c>
      <c r="L43" s="103"/>
      <c r="M43" s="102"/>
      <c r="N43" s="110" t="s">
        <v>0</v>
      </c>
      <c r="V43" s="2" t="s">
        <v>0</v>
      </c>
    </row>
    <row r="44" spans="1:22" ht="16.5">
      <c r="A44" s="124" t="s">
        <v>78</v>
      </c>
      <c r="B44" s="118"/>
      <c r="C44" s="118"/>
      <c r="D44" s="118"/>
      <c r="E44" s="31" t="s">
        <v>37</v>
      </c>
      <c r="F44" s="192">
        <v>25</v>
      </c>
      <c r="G44" s="104"/>
      <c r="H44" s="24">
        <f>$E$4</f>
        <v>700</v>
      </c>
      <c r="I44" s="25">
        <f t="shared" si="4"/>
        <v>17500</v>
      </c>
      <c r="J44" s="182">
        <f t="shared" si="5"/>
        <v>0.10638297872340426</v>
      </c>
      <c r="K44" s="42" t="s">
        <v>30</v>
      </c>
      <c r="L44" s="103"/>
      <c r="M44" s="102"/>
      <c r="N44" s="110" t="s">
        <v>0</v>
      </c>
      <c r="V44" s="2" t="s">
        <v>0</v>
      </c>
    </row>
    <row r="45" spans="1:22" ht="16.5">
      <c r="A45" s="124" t="s">
        <v>50</v>
      </c>
      <c r="B45" s="118"/>
      <c r="C45" s="118"/>
      <c r="D45" s="118"/>
      <c r="E45" s="31" t="s">
        <v>36</v>
      </c>
      <c r="F45" s="192">
        <v>11.5</v>
      </c>
      <c r="G45" s="104"/>
      <c r="H45" s="24">
        <f>$E$4</f>
        <v>700</v>
      </c>
      <c r="I45" s="25">
        <f t="shared" si="4"/>
        <v>8050</v>
      </c>
      <c r="J45" s="182">
        <f t="shared" si="5"/>
        <v>0.04893617021276596</v>
      </c>
      <c r="K45" s="42" t="s">
        <v>30</v>
      </c>
      <c r="L45" s="103"/>
      <c r="M45" s="102"/>
      <c r="N45" s="110" t="s">
        <v>0</v>
      </c>
      <c r="V45" s="2" t="s">
        <v>0</v>
      </c>
    </row>
    <row r="46" spans="1:22" ht="16.5">
      <c r="A46" s="159" t="s">
        <v>116</v>
      </c>
      <c r="B46" s="118"/>
      <c r="C46" s="118"/>
      <c r="D46" s="118"/>
      <c r="E46" s="31" t="s">
        <v>36</v>
      </c>
      <c r="F46" s="192">
        <v>112</v>
      </c>
      <c r="G46" s="104"/>
      <c r="H46" s="24">
        <f>$E$4</f>
        <v>700</v>
      </c>
      <c r="I46" s="25">
        <f t="shared" si="4"/>
        <v>78400</v>
      </c>
      <c r="J46" s="182">
        <f t="shared" si="5"/>
        <v>0.4765957446808511</v>
      </c>
      <c r="K46" s="42"/>
      <c r="L46" s="103"/>
      <c r="M46" s="102"/>
      <c r="N46" s="110"/>
      <c r="V46" s="2"/>
    </row>
    <row r="47" spans="1:27" ht="21" customHeight="1">
      <c r="A47" s="106" t="s">
        <v>110</v>
      </c>
      <c r="B47" s="104"/>
      <c r="C47" s="104"/>
      <c r="D47" s="104"/>
      <c r="E47" s="104"/>
      <c r="F47" s="159"/>
      <c r="G47" s="188">
        <f>ROUND((I47/$E$4),2)</f>
        <v>3957.2</v>
      </c>
      <c r="H47" s="106" t="s">
        <v>77</v>
      </c>
      <c r="I47" s="82">
        <f>SUM(I19:I46)</f>
        <v>2770037.65</v>
      </c>
      <c r="J47" s="184">
        <f>SUM(J19:J46)</f>
        <v>16.83913465045592</v>
      </c>
      <c r="K47" s="42" t="s">
        <v>30</v>
      </c>
      <c r="L47" s="120"/>
      <c r="M47" s="102"/>
      <c r="N47" s="110" t="s">
        <v>0</v>
      </c>
      <c r="V47" s="2" t="s">
        <v>0</v>
      </c>
      <c r="AA47" s="8" t="s">
        <v>0</v>
      </c>
    </row>
    <row r="48" spans="1:27" ht="21" customHeight="1">
      <c r="A48" s="62" t="s">
        <v>109</v>
      </c>
      <c r="B48" s="104"/>
      <c r="C48" s="104"/>
      <c r="D48" s="104"/>
      <c r="E48" s="104"/>
      <c r="F48" s="104"/>
      <c r="G48" s="125">
        <f>G47/(A5/100)</f>
        <v>16.83914893617021</v>
      </c>
      <c r="H48" s="106" t="s">
        <v>85</v>
      </c>
      <c r="I48" s="25"/>
      <c r="J48" s="183"/>
      <c r="K48" s="42" t="s">
        <v>30</v>
      </c>
      <c r="L48" s="103"/>
      <c r="M48" s="102"/>
      <c r="N48" s="110"/>
      <c r="V48" s="2"/>
      <c r="AA48" s="8"/>
    </row>
    <row r="49" spans="1:14" ht="27" customHeight="1" thickBot="1">
      <c r="A49" s="83" t="s">
        <v>95</v>
      </c>
      <c r="B49" s="126"/>
      <c r="C49" s="126"/>
      <c r="D49" s="126"/>
      <c r="E49" s="126"/>
      <c r="F49" s="126"/>
      <c r="G49" s="187">
        <f>ROUND((I49/$E$4),2)</f>
        <v>608.99</v>
      </c>
      <c r="H49" s="106" t="s">
        <v>77</v>
      </c>
      <c r="I49" s="84">
        <f>I16-I47-I48</f>
        <v>426291.3500000001</v>
      </c>
      <c r="J49" s="185">
        <f t="shared" si="5"/>
        <v>2.591436778115502</v>
      </c>
      <c r="K49" s="60" t="s">
        <v>30</v>
      </c>
      <c r="L49" s="127"/>
      <c r="M49" s="102"/>
      <c r="N49" s="102"/>
    </row>
    <row r="50" spans="1:27" ht="18.75" customHeight="1" thickBot="1" thickTop="1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189"/>
      <c r="L50" s="103"/>
      <c r="M50" s="119" t="s">
        <v>0</v>
      </c>
      <c r="N50" s="110" t="s">
        <v>0</v>
      </c>
      <c r="O50" s="5" t="s">
        <v>0</v>
      </c>
      <c r="V50" s="2" t="s">
        <v>0</v>
      </c>
      <c r="AA50" s="8" t="s">
        <v>0</v>
      </c>
    </row>
    <row r="51" spans="1:27" ht="18.75" customHeight="1" thickTop="1">
      <c r="A51" s="226" t="s">
        <v>121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103"/>
      <c r="M51" s="119"/>
      <c r="N51" s="110"/>
      <c r="O51" s="5"/>
      <c r="V51" s="2"/>
      <c r="AA51" s="8"/>
    </row>
    <row r="52" spans="1:27" ht="18.75" customHeight="1">
      <c r="A52" s="20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03"/>
      <c r="M52" s="119"/>
      <c r="N52" s="110"/>
      <c r="O52" s="5"/>
      <c r="V52" s="2"/>
      <c r="AA52" s="8"/>
    </row>
    <row r="53" spans="1:22" ht="18" customHeight="1">
      <c r="A53" s="38" t="str">
        <f>A3</f>
        <v>DAIRY COW - Corn Silage / Small Grain Silage Ration</v>
      </c>
      <c r="B53" s="33"/>
      <c r="C53" s="113"/>
      <c r="D53" s="114"/>
      <c r="E53" s="34"/>
      <c r="F53" s="114"/>
      <c r="G53" s="114"/>
      <c r="H53" s="114"/>
      <c r="I53" s="114"/>
      <c r="J53" s="39"/>
      <c r="K53" s="88"/>
      <c r="L53" s="103"/>
      <c r="M53" s="119" t="s">
        <v>0</v>
      </c>
      <c r="N53" s="110" t="s">
        <v>0</v>
      </c>
      <c r="O53" s="5" t="s">
        <v>0</v>
      </c>
      <c r="V53" s="2" t="s">
        <v>0</v>
      </c>
    </row>
    <row r="54" spans="1:22" ht="18" customHeight="1">
      <c r="A54" s="85"/>
      <c r="B54" s="86"/>
      <c r="C54" s="116"/>
      <c r="D54" s="115"/>
      <c r="E54" s="87"/>
      <c r="F54" s="115"/>
      <c r="G54" s="115"/>
      <c r="H54" s="115"/>
      <c r="I54" s="115"/>
      <c r="J54" s="88"/>
      <c r="K54" s="88"/>
      <c r="L54" s="103"/>
      <c r="M54" s="119"/>
      <c r="N54" s="110"/>
      <c r="O54" s="5"/>
      <c r="V54" s="2"/>
    </row>
    <row r="55" spans="1:27" s="14" customFormat="1" ht="15">
      <c r="A55" s="219" t="s">
        <v>69</v>
      </c>
      <c r="B55" s="219"/>
      <c r="C55" s="104"/>
      <c r="D55" s="220" t="s">
        <v>70</v>
      </c>
      <c r="E55" s="220"/>
      <c r="F55" s="220"/>
      <c r="G55" s="220"/>
      <c r="H55" s="220"/>
      <c r="I55" s="221"/>
      <c r="J55" s="221"/>
      <c r="K55" s="161"/>
      <c r="L55" s="120"/>
      <c r="M55" s="121"/>
      <c r="N55" s="122" t="s">
        <v>0</v>
      </c>
      <c r="P55" s="89" t="s">
        <v>0</v>
      </c>
      <c r="V55" s="13" t="s">
        <v>0</v>
      </c>
      <c r="AA55" s="15" t="s">
        <v>0</v>
      </c>
    </row>
    <row r="56" spans="1:27" s="14" customFormat="1" ht="15">
      <c r="A56" s="129" t="s">
        <v>79</v>
      </c>
      <c r="B56" s="130"/>
      <c r="C56" s="131"/>
      <c r="D56" s="132">
        <f>$G$56-($A$64*5)</f>
        <v>-0.1</v>
      </c>
      <c r="E56" s="132">
        <f>$G$56-($A$64*2)</f>
        <v>-0.04</v>
      </c>
      <c r="F56" s="132">
        <f>$G$56-($A$64)</f>
        <v>-0.02</v>
      </c>
      <c r="G56" s="132">
        <v>0</v>
      </c>
      <c r="H56" s="132">
        <f>$G$56+($A$64)</f>
        <v>0.02</v>
      </c>
      <c r="I56" s="132">
        <f>$G$56+($A$64*2)</f>
        <v>0.04</v>
      </c>
      <c r="J56" s="132">
        <f>$G$56+($A$64*5)</f>
        <v>0.1</v>
      </c>
      <c r="K56" s="133"/>
      <c r="L56" s="120"/>
      <c r="M56" s="121"/>
      <c r="N56" s="122" t="s">
        <v>0</v>
      </c>
      <c r="P56" s="89" t="s">
        <v>0</v>
      </c>
      <c r="V56" s="13" t="s">
        <v>0</v>
      </c>
      <c r="AA56" s="15" t="s">
        <v>0</v>
      </c>
    </row>
    <row r="57" spans="1:27" s="14" customFormat="1" ht="15">
      <c r="A57" s="130"/>
      <c r="B57" s="130"/>
      <c r="C57" s="131"/>
      <c r="D57" s="222" t="s">
        <v>71</v>
      </c>
      <c r="E57" s="223"/>
      <c r="F57" s="223"/>
      <c r="G57" s="223"/>
      <c r="H57" s="223"/>
      <c r="I57" s="223"/>
      <c r="J57" s="224"/>
      <c r="K57" s="162"/>
      <c r="L57" s="120"/>
      <c r="M57" s="121"/>
      <c r="N57" s="122"/>
      <c r="P57" s="89"/>
      <c r="V57" s="13"/>
      <c r="AA57" s="15"/>
    </row>
    <row r="58" spans="1:27" s="14" customFormat="1" ht="18" customHeight="1">
      <c r="A58" s="121"/>
      <c r="B58" s="133">
        <f>$B$60-($A$64*2)</f>
        <v>-0.04</v>
      </c>
      <c r="C58" s="104"/>
      <c r="D58" s="175">
        <f aca="true" t="shared" si="6" ref="D58:J63">(($I$16*(1+D$56))-($I$47*(1+$B58)))/$E$4</f>
        <v>310.65708000000035</v>
      </c>
      <c r="E58" s="134">
        <f t="shared" si="6"/>
        <v>584.6281371428571</v>
      </c>
      <c r="F58" s="134">
        <f t="shared" si="6"/>
        <v>675.9518228571429</v>
      </c>
      <c r="G58" s="134">
        <f t="shared" si="6"/>
        <v>767.2755085714288</v>
      </c>
      <c r="H58" s="134">
        <f t="shared" si="6"/>
        <v>858.5991942857146</v>
      </c>
      <c r="I58" s="134">
        <f t="shared" si="6"/>
        <v>949.9228800000004</v>
      </c>
      <c r="J58" s="176">
        <f t="shared" si="6"/>
        <v>1223.8939371428578</v>
      </c>
      <c r="K58" s="134"/>
      <c r="L58" s="120"/>
      <c r="M58" s="121"/>
      <c r="N58" s="122" t="s">
        <v>0</v>
      </c>
      <c r="P58" s="89" t="s">
        <v>0</v>
      </c>
      <c r="V58" s="13" t="s">
        <v>0</v>
      </c>
      <c r="AA58" s="15" t="s">
        <v>0</v>
      </c>
    </row>
    <row r="59" spans="1:27" s="14" customFormat="1" ht="15">
      <c r="A59" s="128" t="s">
        <v>14</v>
      </c>
      <c r="B59" s="133">
        <f>$B$60-$A$64</f>
        <v>-0.02</v>
      </c>
      <c r="C59" s="104"/>
      <c r="D59" s="175">
        <f t="shared" si="6"/>
        <v>231.51314714285743</v>
      </c>
      <c r="E59" s="134">
        <f t="shared" si="6"/>
        <v>505.48420428571427</v>
      </c>
      <c r="F59" s="134">
        <f t="shared" si="6"/>
        <v>596.80789</v>
      </c>
      <c r="G59" s="134">
        <f t="shared" si="6"/>
        <v>688.1315757142859</v>
      </c>
      <c r="H59" s="134">
        <f t="shared" si="6"/>
        <v>779.4552614285717</v>
      </c>
      <c r="I59" s="134">
        <f t="shared" si="6"/>
        <v>870.7789471428575</v>
      </c>
      <c r="J59" s="176">
        <f t="shared" si="6"/>
        <v>1144.750004285715</v>
      </c>
      <c r="K59" s="134"/>
      <c r="L59" s="120"/>
      <c r="M59" s="121"/>
      <c r="N59" s="122" t="s">
        <v>0</v>
      </c>
      <c r="P59" s="89" t="s">
        <v>0</v>
      </c>
      <c r="V59" s="13" t="s">
        <v>0</v>
      </c>
      <c r="AA59" s="15" t="s">
        <v>0</v>
      </c>
    </row>
    <row r="60" spans="1:27" s="14" customFormat="1" ht="15">
      <c r="A60" s="128" t="s">
        <v>72</v>
      </c>
      <c r="B60" s="133">
        <v>0</v>
      </c>
      <c r="C60" s="104"/>
      <c r="D60" s="175">
        <f t="shared" si="6"/>
        <v>152.36921428571455</v>
      </c>
      <c r="E60" s="134">
        <f t="shared" si="6"/>
        <v>426.3402714285713</v>
      </c>
      <c r="F60" s="134">
        <f t="shared" si="6"/>
        <v>517.6639571428572</v>
      </c>
      <c r="G60" s="135">
        <f t="shared" si="6"/>
        <v>608.987642857143</v>
      </c>
      <c r="H60" s="134">
        <f t="shared" si="6"/>
        <v>700.3113285714288</v>
      </c>
      <c r="I60" s="134">
        <f t="shared" si="6"/>
        <v>791.6350142857146</v>
      </c>
      <c r="J60" s="176">
        <f t="shared" si="6"/>
        <v>1065.606071428572</v>
      </c>
      <c r="K60" s="134"/>
      <c r="L60" s="120"/>
      <c r="M60" s="121"/>
      <c r="N60" s="122" t="s">
        <v>0</v>
      </c>
      <c r="P60" s="89" t="s">
        <v>0</v>
      </c>
      <c r="V60" s="13" t="s">
        <v>0</v>
      </c>
      <c r="AA60" s="15" t="s">
        <v>0</v>
      </c>
    </row>
    <row r="61" spans="1:27" s="14" customFormat="1" ht="15">
      <c r="A61" s="128" t="s">
        <v>73</v>
      </c>
      <c r="B61" s="133">
        <f>$B$60+$A$64</f>
        <v>0.02</v>
      </c>
      <c r="C61" s="104"/>
      <c r="D61" s="175">
        <f t="shared" si="6"/>
        <v>73.22528142857166</v>
      </c>
      <c r="E61" s="134">
        <f t="shared" si="6"/>
        <v>347.19633857142844</v>
      </c>
      <c r="F61" s="134">
        <f t="shared" si="6"/>
        <v>438.52002428571427</v>
      </c>
      <c r="G61" s="134">
        <f t="shared" si="6"/>
        <v>529.8437100000001</v>
      </c>
      <c r="H61" s="134">
        <f t="shared" si="6"/>
        <v>621.1673957142859</v>
      </c>
      <c r="I61" s="134">
        <f t="shared" si="6"/>
        <v>712.4910814285718</v>
      </c>
      <c r="J61" s="176">
        <f t="shared" si="6"/>
        <v>986.4621385714293</v>
      </c>
      <c r="K61" s="134"/>
      <c r="L61" s="120"/>
      <c r="M61" s="121"/>
      <c r="N61" s="122" t="s">
        <v>0</v>
      </c>
      <c r="P61" s="89" t="s">
        <v>0</v>
      </c>
      <c r="V61" s="13" t="s">
        <v>0</v>
      </c>
      <c r="AA61" s="15" t="s">
        <v>0</v>
      </c>
    </row>
    <row r="62" spans="1:22" s="14" customFormat="1" ht="15">
      <c r="A62" s="128" t="s">
        <v>74</v>
      </c>
      <c r="B62" s="133">
        <f>$B$60+($A$64*2)</f>
        <v>0.04</v>
      </c>
      <c r="C62" s="104"/>
      <c r="D62" s="175">
        <f t="shared" si="6"/>
        <v>-5.918651428571237</v>
      </c>
      <c r="E62" s="134">
        <f t="shared" si="6"/>
        <v>268.05240571428556</v>
      </c>
      <c r="F62" s="134">
        <f t="shared" si="6"/>
        <v>359.3760914285714</v>
      </c>
      <c r="G62" s="134">
        <f t="shared" si="6"/>
        <v>450.6997771428572</v>
      </c>
      <c r="H62" s="134">
        <f t="shared" si="6"/>
        <v>542.023462857143</v>
      </c>
      <c r="I62" s="134">
        <f t="shared" si="6"/>
        <v>633.3471485714289</v>
      </c>
      <c r="J62" s="176">
        <f t="shared" si="6"/>
        <v>907.3182057142863</v>
      </c>
      <c r="K62" s="134"/>
      <c r="L62" s="120"/>
      <c r="M62" s="121"/>
      <c r="N62" s="122" t="s">
        <v>0</v>
      </c>
      <c r="V62" s="13" t="s">
        <v>0</v>
      </c>
    </row>
    <row r="63" spans="1:27" s="14" customFormat="1" ht="15">
      <c r="A63" s="130"/>
      <c r="B63" s="133">
        <f>$B$60+($A$64*5)</f>
        <v>0.1</v>
      </c>
      <c r="C63" s="104"/>
      <c r="D63" s="177">
        <f t="shared" si="6"/>
        <v>-243.3504499999999</v>
      </c>
      <c r="E63" s="178">
        <f t="shared" si="6"/>
        <v>30.620607142856876</v>
      </c>
      <c r="F63" s="178">
        <f t="shared" si="6"/>
        <v>121.9442928571427</v>
      </c>
      <c r="G63" s="178">
        <f t="shared" si="6"/>
        <v>213.26797857142853</v>
      </c>
      <c r="H63" s="178">
        <f t="shared" si="6"/>
        <v>304.59166428571433</v>
      </c>
      <c r="I63" s="178">
        <f t="shared" si="6"/>
        <v>395.91535000000016</v>
      </c>
      <c r="J63" s="179">
        <f t="shared" si="6"/>
        <v>669.8864071428576</v>
      </c>
      <c r="K63" s="134"/>
      <c r="L63" s="120"/>
      <c r="M63" s="121"/>
      <c r="N63" s="122" t="s">
        <v>0</v>
      </c>
      <c r="V63" s="13" t="s">
        <v>0</v>
      </c>
      <c r="AA63" s="15" t="s">
        <v>0</v>
      </c>
    </row>
    <row r="64" spans="1:27" s="14" customFormat="1" ht="15" customHeight="1">
      <c r="A64" s="186">
        <v>0.02</v>
      </c>
      <c r="B64" s="180" t="s">
        <v>75</v>
      </c>
      <c r="C64" s="93"/>
      <c r="D64" s="93"/>
      <c r="E64" s="93"/>
      <c r="F64" s="93"/>
      <c r="G64" s="93"/>
      <c r="H64" s="93"/>
      <c r="I64" s="93"/>
      <c r="J64" s="93"/>
      <c r="K64" s="130"/>
      <c r="L64" s="120"/>
      <c r="M64" s="121"/>
      <c r="N64" s="122"/>
      <c r="V64" s="13"/>
      <c r="AA64" s="15"/>
    </row>
    <row r="65" spans="1:27" s="14" customFormat="1" ht="15" customHeight="1">
      <c r="A65" s="130"/>
      <c r="B65" s="121"/>
      <c r="C65" s="121"/>
      <c r="D65" s="121"/>
      <c r="E65" s="137"/>
      <c r="F65" s="137"/>
      <c r="G65" s="137"/>
      <c r="H65" s="137"/>
      <c r="I65" s="137"/>
      <c r="J65" s="137"/>
      <c r="K65" s="137"/>
      <c r="L65" s="120"/>
      <c r="M65" s="121"/>
      <c r="N65" s="122"/>
      <c r="V65" s="13"/>
      <c r="AA65" s="15"/>
    </row>
    <row r="66" spans="1:27" s="14" customFormat="1" ht="15" customHeight="1">
      <c r="A66" s="172" t="s">
        <v>107</v>
      </c>
      <c r="B66" s="169" t="s">
        <v>117</v>
      </c>
      <c r="C66" s="136"/>
      <c r="D66" s="130"/>
      <c r="E66" s="137"/>
      <c r="F66" s="137"/>
      <c r="G66" s="137"/>
      <c r="H66" s="137"/>
      <c r="I66" s="137"/>
      <c r="J66" s="137"/>
      <c r="K66" s="137"/>
      <c r="L66" s="120"/>
      <c r="M66" s="121"/>
      <c r="N66" s="122"/>
      <c r="V66" s="13"/>
      <c r="AA66" s="15"/>
    </row>
    <row r="67" spans="1:27" s="14" customFormat="1" ht="15" customHeight="1">
      <c r="A67" s="172">
        <v>2</v>
      </c>
      <c r="B67" s="169" t="s">
        <v>118</v>
      </c>
      <c r="C67" s="170"/>
      <c r="D67" s="174"/>
      <c r="E67" s="170"/>
      <c r="F67" s="170"/>
      <c r="G67" s="170"/>
      <c r="H67" s="170"/>
      <c r="I67" s="170"/>
      <c r="J67" s="170"/>
      <c r="K67" s="137"/>
      <c r="L67" s="120"/>
      <c r="M67" s="121"/>
      <c r="N67" s="122"/>
      <c r="V67" s="13"/>
      <c r="AA67" s="15"/>
    </row>
    <row r="68" spans="1:27" s="14" customFormat="1" ht="15" customHeight="1">
      <c r="A68" s="172">
        <v>3</v>
      </c>
      <c r="B68" s="169" t="s">
        <v>105</v>
      </c>
      <c r="C68" s="170"/>
      <c r="D68" s="174"/>
      <c r="E68" s="170"/>
      <c r="F68" s="170"/>
      <c r="G68" s="170"/>
      <c r="H68" s="170"/>
      <c r="I68" s="170"/>
      <c r="J68" s="170"/>
      <c r="K68" s="137"/>
      <c r="L68" s="120"/>
      <c r="M68" s="121"/>
      <c r="N68" s="122"/>
      <c r="V68" s="13"/>
      <c r="AA68" s="15"/>
    </row>
    <row r="69" spans="1:27" s="14" customFormat="1" ht="15" customHeight="1">
      <c r="A69" s="172">
        <v>4</v>
      </c>
      <c r="B69" s="169" t="s">
        <v>113</v>
      </c>
      <c r="C69" s="170"/>
      <c r="D69" s="174"/>
      <c r="E69" s="170"/>
      <c r="F69" s="170"/>
      <c r="G69" s="170"/>
      <c r="H69" s="170"/>
      <c r="I69" s="170"/>
      <c r="J69" s="170"/>
      <c r="K69" s="137"/>
      <c r="L69" s="120"/>
      <c r="M69" s="121"/>
      <c r="N69" s="122"/>
      <c r="V69" s="13"/>
      <c r="AA69" s="15"/>
    </row>
    <row r="70" spans="1:27" s="14" customFormat="1" ht="15" customHeight="1">
      <c r="A70" s="172">
        <v>5</v>
      </c>
      <c r="B70" s="169" t="s">
        <v>115</v>
      </c>
      <c r="C70" s="170"/>
      <c r="D70" s="174"/>
      <c r="E70" s="170"/>
      <c r="F70" s="170"/>
      <c r="G70" s="170"/>
      <c r="H70" s="170"/>
      <c r="I70" s="170"/>
      <c r="J70" s="170"/>
      <c r="K70" s="137"/>
      <c r="L70" s="120"/>
      <c r="M70" s="121"/>
      <c r="N70" s="122"/>
      <c r="V70" s="13"/>
      <c r="AA70" s="15"/>
    </row>
    <row r="71" spans="1:27" s="14" customFormat="1" ht="15" customHeight="1">
      <c r="A71" s="172">
        <v>6</v>
      </c>
      <c r="B71" s="169" t="s">
        <v>106</v>
      </c>
      <c r="C71" s="170"/>
      <c r="D71" s="174"/>
      <c r="E71" s="170"/>
      <c r="F71" s="170"/>
      <c r="G71" s="170"/>
      <c r="H71" s="170"/>
      <c r="I71" s="170"/>
      <c r="J71" s="170"/>
      <c r="K71" s="137"/>
      <c r="L71" s="120"/>
      <c r="M71" s="121"/>
      <c r="N71" s="122"/>
      <c r="V71" s="13"/>
      <c r="AA71" s="15"/>
    </row>
    <row r="72" spans="1:27" s="14" customFormat="1" ht="15" customHeight="1">
      <c r="A72" s="172"/>
      <c r="B72" s="181" t="s">
        <v>112</v>
      </c>
      <c r="C72" s="170"/>
      <c r="D72" s="174"/>
      <c r="E72" s="170"/>
      <c r="F72" s="170"/>
      <c r="G72" s="170"/>
      <c r="H72" s="170"/>
      <c r="I72" s="170"/>
      <c r="J72" s="170"/>
      <c r="K72" s="137"/>
      <c r="L72" s="120"/>
      <c r="M72" s="121"/>
      <c r="N72" s="122"/>
      <c r="V72" s="13"/>
      <c r="AA72" s="15"/>
    </row>
    <row r="73" spans="1:22" ht="15">
      <c r="A73" s="173"/>
      <c r="B73" s="198" t="s">
        <v>119</v>
      </c>
      <c r="C73" s="171"/>
      <c r="D73" s="171"/>
      <c r="E73" s="171"/>
      <c r="F73" s="171"/>
      <c r="G73" s="171"/>
      <c r="H73" s="171"/>
      <c r="I73" s="171"/>
      <c r="J73" s="171"/>
      <c r="K73" s="115"/>
      <c r="L73" s="103"/>
      <c r="M73" s="102"/>
      <c r="N73" s="110" t="s">
        <v>0</v>
      </c>
      <c r="V73" s="2" t="s">
        <v>0</v>
      </c>
    </row>
    <row r="74" spans="1:22" ht="15">
      <c r="A74" s="199"/>
      <c r="B74" s="200"/>
      <c r="C74" s="181"/>
      <c r="D74" s="181"/>
      <c r="E74" s="181"/>
      <c r="F74" s="181"/>
      <c r="G74" s="181"/>
      <c r="H74" s="181"/>
      <c r="I74" s="181"/>
      <c r="J74" s="181"/>
      <c r="K74" s="115"/>
      <c r="L74" s="103"/>
      <c r="M74" s="102"/>
      <c r="N74" s="110"/>
      <c r="V74" s="2"/>
    </row>
    <row r="75" spans="1:22" ht="18.75" customHeight="1">
      <c r="A75" s="62" t="s">
        <v>76</v>
      </c>
      <c r="B75" s="104"/>
      <c r="C75" s="104"/>
      <c r="D75" s="32" t="s">
        <v>24</v>
      </c>
      <c r="E75" s="32" t="s">
        <v>24</v>
      </c>
      <c r="F75" s="32" t="s">
        <v>26</v>
      </c>
      <c r="G75" s="32" t="s">
        <v>27</v>
      </c>
      <c r="H75" s="32" t="s">
        <v>29</v>
      </c>
      <c r="I75" s="32" t="s">
        <v>28</v>
      </c>
      <c r="J75" s="102"/>
      <c r="K75" s="102"/>
      <c r="L75" s="103"/>
      <c r="M75" s="119" t="s">
        <v>0</v>
      </c>
      <c r="N75" s="110" t="s">
        <v>0</v>
      </c>
      <c r="O75" s="5" t="s">
        <v>0</v>
      </c>
      <c r="V75" s="2" t="s">
        <v>0</v>
      </c>
    </row>
    <row r="76" spans="1:27" ht="15" customHeight="1">
      <c r="A76" s="27" t="s">
        <v>9</v>
      </c>
      <c r="B76" s="104"/>
      <c r="C76" s="104"/>
      <c r="D76" s="32" t="s">
        <v>25</v>
      </c>
      <c r="E76" s="32" t="s">
        <v>25</v>
      </c>
      <c r="F76" s="32" t="s">
        <v>25</v>
      </c>
      <c r="G76" s="32" t="s">
        <v>28</v>
      </c>
      <c r="H76" s="32" t="s">
        <v>51</v>
      </c>
      <c r="I76" s="32" t="s">
        <v>52</v>
      </c>
      <c r="J76" s="102"/>
      <c r="K76" s="102"/>
      <c r="L76" s="103"/>
      <c r="M76" s="119" t="s">
        <v>0</v>
      </c>
      <c r="N76" s="168"/>
      <c r="O76" s="5" t="s">
        <v>0</v>
      </c>
      <c r="V76" s="2" t="s">
        <v>0</v>
      </c>
      <c r="AA76" s="8" t="s">
        <v>0</v>
      </c>
    </row>
    <row r="77" spans="1:22" ht="15">
      <c r="A77" s="104"/>
      <c r="B77" s="65"/>
      <c r="C77" s="65" t="s">
        <v>33</v>
      </c>
      <c r="D77" s="68">
        <f>E4</f>
        <v>700</v>
      </c>
      <c r="E77" s="139">
        <f>E4</f>
        <v>700</v>
      </c>
      <c r="F77" s="21">
        <f>D77</f>
        <v>700</v>
      </c>
      <c r="G77" s="21">
        <f>ROUND(((H77*(1-($G$7/50)))+2),0)</f>
        <v>318</v>
      </c>
      <c r="H77" s="21">
        <f>ROUND(((I77*(1-($G$7/50)))-0.49),0)</f>
        <v>338</v>
      </c>
      <c r="I77" s="79">
        <f>ROUND((((E4*G5/100)-H13)*-1),0)</f>
        <v>362</v>
      </c>
      <c r="J77" s="140" t="s">
        <v>54</v>
      </c>
      <c r="K77" s="140"/>
      <c r="L77" s="103"/>
      <c r="M77" s="102"/>
      <c r="N77" s="168"/>
      <c r="V77" s="2" t="s">
        <v>0</v>
      </c>
    </row>
    <row r="78" spans="1:22" ht="15">
      <c r="A78" s="138"/>
      <c r="B78" s="138"/>
      <c r="C78" s="64" t="s">
        <v>34</v>
      </c>
      <c r="D78" s="28">
        <v>153</v>
      </c>
      <c r="E78" s="154">
        <v>152</v>
      </c>
      <c r="F78" s="28">
        <v>60</v>
      </c>
      <c r="G78" s="28">
        <v>365</v>
      </c>
      <c r="H78" s="28">
        <v>365</v>
      </c>
      <c r="I78" s="28">
        <v>365</v>
      </c>
      <c r="J78" s="141" t="s">
        <v>55</v>
      </c>
      <c r="K78" s="163"/>
      <c r="L78" s="103"/>
      <c r="M78" s="102"/>
      <c r="N78" s="168"/>
      <c r="V78" s="2" t="s">
        <v>0</v>
      </c>
    </row>
    <row r="79" spans="1:27" ht="13.5" customHeight="1">
      <c r="A79" s="35"/>
      <c r="B79" s="35"/>
      <c r="C79" s="142" t="s">
        <v>81</v>
      </c>
      <c r="D79" s="155"/>
      <c r="E79" s="156"/>
      <c r="F79" s="155"/>
      <c r="G79" s="155"/>
      <c r="H79" s="155"/>
      <c r="I79" s="155"/>
      <c r="J79" s="102"/>
      <c r="K79" s="102"/>
      <c r="L79" s="103"/>
      <c r="M79" s="102"/>
      <c r="N79" s="168"/>
      <c r="V79" s="2" t="s">
        <v>0</v>
      </c>
      <c r="AA79" s="8" t="s">
        <v>0</v>
      </c>
    </row>
    <row r="80" spans="1:27" ht="15">
      <c r="A80" s="92" t="s">
        <v>102</v>
      </c>
      <c r="B80" s="90" t="s">
        <v>80</v>
      </c>
      <c r="C80" s="143"/>
      <c r="D80" s="26">
        <v>63</v>
      </c>
      <c r="E80" s="157">
        <v>63</v>
      </c>
      <c r="F80" s="26">
        <v>0</v>
      </c>
      <c r="G80" s="26">
        <v>40</v>
      </c>
      <c r="H80" s="26">
        <v>0</v>
      </c>
      <c r="I80" s="26">
        <v>0</v>
      </c>
      <c r="J80" s="67">
        <f aca="true" t="shared" si="7" ref="J80:J89">ROUND(((($D$77*$D$78*D80)+($E$77*$E$78*E80)+($F$77*$F$78*F80)+($G$77*$G$78*G80)+($H$77*$H$78*H80)+($I$77*$I$78*I80))/2000),2)</f>
        <v>9046.65</v>
      </c>
      <c r="K80" s="67"/>
      <c r="L80" s="103"/>
      <c r="M80" s="102"/>
      <c r="N80" s="37"/>
      <c r="V80" s="2" t="s">
        <v>0</v>
      </c>
      <c r="AA80" s="8" t="s">
        <v>0</v>
      </c>
    </row>
    <row r="81" spans="1:22" ht="15">
      <c r="A81" s="92" t="s">
        <v>103</v>
      </c>
      <c r="B81" s="90" t="s">
        <v>80</v>
      </c>
      <c r="C81" s="143"/>
      <c r="D81" s="26">
        <v>12</v>
      </c>
      <c r="E81" s="157">
        <v>12</v>
      </c>
      <c r="F81" s="26">
        <v>15</v>
      </c>
      <c r="G81" s="26">
        <v>17</v>
      </c>
      <c r="H81" s="26">
        <v>0</v>
      </c>
      <c r="I81" s="26">
        <v>0</v>
      </c>
      <c r="J81" s="67">
        <f t="shared" si="7"/>
        <v>2582.6</v>
      </c>
      <c r="K81" s="67"/>
      <c r="L81" s="103"/>
      <c r="M81" s="102"/>
      <c r="N81" s="37"/>
      <c r="V81" s="2" t="s">
        <v>0</v>
      </c>
    </row>
    <row r="82" spans="1:27" ht="15">
      <c r="A82" s="92" t="s">
        <v>104</v>
      </c>
      <c r="B82" s="90" t="s">
        <v>80</v>
      </c>
      <c r="C82" s="143"/>
      <c r="D82" s="26">
        <v>3</v>
      </c>
      <c r="E82" s="157">
        <v>3</v>
      </c>
      <c r="F82" s="26">
        <v>4</v>
      </c>
      <c r="G82" s="26">
        <v>1.5</v>
      </c>
      <c r="H82" s="26">
        <v>1.5</v>
      </c>
      <c r="I82" s="26">
        <v>0</v>
      </c>
      <c r="J82" s="67">
        <f t="shared" si="7"/>
        <v>583.83</v>
      </c>
      <c r="K82" s="67"/>
      <c r="L82" s="103"/>
      <c r="M82" s="119" t="s">
        <v>0</v>
      </c>
      <c r="N82" s="37"/>
      <c r="O82" s="5" t="s">
        <v>0</v>
      </c>
      <c r="V82" s="2" t="s">
        <v>0</v>
      </c>
      <c r="AA82" s="8" t="s">
        <v>0</v>
      </c>
    </row>
    <row r="83" spans="1:14" ht="15">
      <c r="A83" s="92" t="s">
        <v>101</v>
      </c>
      <c r="B83" s="90" t="s">
        <v>80</v>
      </c>
      <c r="C83" s="143"/>
      <c r="D83" s="26">
        <v>6</v>
      </c>
      <c r="E83" s="157">
        <v>6</v>
      </c>
      <c r="F83" s="26">
        <v>3</v>
      </c>
      <c r="G83" s="26">
        <v>2.5</v>
      </c>
      <c r="H83" s="26">
        <v>1.9</v>
      </c>
      <c r="I83" s="26">
        <v>0</v>
      </c>
      <c r="J83" s="67">
        <f t="shared" si="7"/>
        <v>965.79</v>
      </c>
      <c r="K83" s="67"/>
      <c r="L83" s="103"/>
      <c r="M83" s="102"/>
      <c r="N83" s="37"/>
    </row>
    <row r="84" spans="1:14" ht="15">
      <c r="A84" s="92" t="s">
        <v>100</v>
      </c>
      <c r="B84" s="90" t="s">
        <v>80</v>
      </c>
      <c r="C84" s="144">
        <v>56</v>
      </c>
      <c r="D84" s="26">
        <v>16</v>
      </c>
      <c r="E84" s="157">
        <v>16</v>
      </c>
      <c r="F84" s="26">
        <v>2</v>
      </c>
      <c r="G84" s="26">
        <v>0</v>
      </c>
      <c r="H84" s="26">
        <v>0</v>
      </c>
      <c r="I84" s="26">
        <v>0</v>
      </c>
      <c r="J84" s="67">
        <f t="shared" si="7"/>
        <v>1750</v>
      </c>
      <c r="K84" s="67"/>
      <c r="L84" s="103"/>
      <c r="M84" s="102"/>
      <c r="N84" s="37"/>
    </row>
    <row r="85" spans="1:14" ht="15">
      <c r="A85" s="92" t="s">
        <v>99</v>
      </c>
      <c r="B85" s="90" t="s">
        <v>80</v>
      </c>
      <c r="C85" s="143"/>
      <c r="D85" s="26">
        <v>6</v>
      </c>
      <c r="E85" s="157">
        <v>6</v>
      </c>
      <c r="F85" s="26">
        <v>0</v>
      </c>
      <c r="G85" s="26">
        <v>0</v>
      </c>
      <c r="H85" s="26">
        <v>0</v>
      </c>
      <c r="I85" s="26">
        <v>0</v>
      </c>
      <c r="J85" s="67">
        <f t="shared" si="7"/>
        <v>640.5</v>
      </c>
      <c r="K85" s="67"/>
      <c r="L85" s="103"/>
      <c r="M85" s="102"/>
      <c r="N85" s="37"/>
    </row>
    <row r="86" spans="1:27" ht="15">
      <c r="A86" s="92" t="s">
        <v>82</v>
      </c>
      <c r="B86" s="90" t="s">
        <v>80</v>
      </c>
      <c r="C86" s="143"/>
      <c r="D86" s="26">
        <v>2.7</v>
      </c>
      <c r="E86" s="157">
        <v>2.7</v>
      </c>
      <c r="F86" s="26">
        <v>0</v>
      </c>
      <c r="G86" s="26">
        <v>0</v>
      </c>
      <c r="H86" s="26">
        <v>0</v>
      </c>
      <c r="I86" s="26">
        <v>0</v>
      </c>
      <c r="J86" s="67">
        <f t="shared" si="7"/>
        <v>288.23</v>
      </c>
      <c r="K86" s="67"/>
      <c r="L86" s="103"/>
      <c r="M86" s="119" t="s">
        <v>0</v>
      </c>
      <c r="N86" s="37"/>
      <c r="O86" s="5" t="s">
        <v>0</v>
      </c>
      <c r="V86" s="2" t="s">
        <v>0</v>
      </c>
      <c r="AA86" s="8" t="s">
        <v>0</v>
      </c>
    </row>
    <row r="87" spans="1:27" ht="15">
      <c r="A87" s="92" t="s">
        <v>83</v>
      </c>
      <c r="B87" s="90" t="s">
        <v>80</v>
      </c>
      <c r="C87" s="143"/>
      <c r="D87" s="26">
        <v>3.5</v>
      </c>
      <c r="E87" s="157">
        <v>3.5</v>
      </c>
      <c r="F87" s="26">
        <v>0</v>
      </c>
      <c r="G87" s="26">
        <v>0</v>
      </c>
      <c r="H87" s="26">
        <v>0</v>
      </c>
      <c r="I87" s="26">
        <v>0</v>
      </c>
      <c r="J87" s="67">
        <f t="shared" si="7"/>
        <v>373.63</v>
      </c>
      <c r="K87" s="67"/>
      <c r="L87" s="103"/>
      <c r="M87" s="102"/>
      <c r="N87" s="37"/>
      <c r="V87" s="2" t="s">
        <v>0</v>
      </c>
      <c r="AA87" s="8" t="s">
        <v>0</v>
      </c>
    </row>
    <row r="88" spans="1:27" ht="15">
      <c r="A88" s="92" t="s">
        <v>96</v>
      </c>
      <c r="B88" s="90" t="s">
        <v>80</v>
      </c>
      <c r="C88" s="143"/>
      <c r="D88" s="26">
        <v>2.8</v>
      </c>
      <c r="E88" s="157">
        <v>2.8</v>
      </c>
      <c r="F88" s="26">
        <v>2.8</v>
      </c>
      <c r="G88" s="26">
        <v>0</v>
      </c>
      <c r="H88" s="26">
        <v>0</v>
      </c>
      <c r="I88" s="26">
        <v>0</v>
      </c>
      <c r="J88" s="67">
        <f t="shared" si="7"/>
        <v>357.7</v>
      </c>
      <c r="K88" s="67"/>
      <c r="L88" s="103"/>
      <c r="M88" s="102"/>
      <c r="N88" s="37"/>
      <c r="V88" s="2" t="s">
        <v>0</v>
      </c>
      <c r="AA88" s="8" t="s">
        <v>0</v>
      </c>
    </row>
    <row r="89" spans="1:27" ht="15">
      <c r="A89" s="92" t="s">
        <v>84</v>
      </c>
      <c r="B89" s="90" t="s">
        <v>80</v>
      </c>
      <c r="C89" s="143"/>
      <c r="D89" s="26">
        <v>0</v>
      </c>
      <c r="E89" s="157">
        <v>0</v>
      </c>
      <c r="F89" s="26">
        <v>0</v>
      </c>
      <c r="G89" s="26">
        <v>0</v>
      </c>
      <c r="H89" s="26">
        <v>0</v>
      </c>
      <c r="I89" s="26">
        <v>0</v>
      </c>
      <c r="J89" s="67">
        <f t="shared" si="7"/>
        <v>0</v>
      </c>
      <c r="K89" s="67"/>
      <c r="L89" s="103"/>
      <c r="M89" s="102"/>
      <c r="N89" s="37"/>
      <c r="V89" s="2" t="s">
        <v>0</v>
      </c>
      <c r="AA89" s="8" t="s">
        <v>0</v>
      </c>
    </row>
    <row r="90" spans="1:27" ht="15">
      <c r="A90" s="36"/>
      <c r="B90" s="36"/>
      <c r="C90" s="36"/>
      <c r="D90" s="36"/>
      <c r="E90" s="36"/>
      <c r="F90" s="36"/>
      <c r="G90" s="36"/>
      <c r="H90" s="36"/>
      <c r="I90" s="36"/>
      <c r="J90" s="145"/>
      <c r="K90" s="164"/>
      <c r="L90" s="120"/>
      <c r="M90" s="102"/>
      <c r="N90" s="110" t="s">
        <v>0</v>
      </c>
      <c r="V90" s="2" t="s">
        <v>0</v>
      </c>
      <c r="AA90" s="8" t="s">
        <v>0</v>
      </c>
    </row>
    <row r="91" spans="1:22" ht="1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3"/>
      <c r="M91" s="102"/>
      <c r="N91" s="110" t="s">
        <v>0</v>
      </c>
      <c r="V91" s="2" t="s">
        <v>0</v>
      </c>
    </row>
    <row r="92" spans="1:27" ht="1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3"/>
      <c r="M92" s="102"/>
      <c r="N92" s="110" t="s">
        <v>0</v>
      </c>
      <c r="P92" s="7" t="s">
        <v>0</v>
      </c>
      <c r="V92" s="2" t="s">
        <v>0</v>
      </c>
      <c r="AA92" s="8" t="s">
        <v>0</v>
      </c>
    </row>
    <row r="93" spans="1:27" s="14" customFormat="1" ht="15">
      <c r="A93" s="40" t="s">
        <v>10</v>
      </c>
      <c r="B93" s="104"/>
      <c r="C93" s="104"/>
      <c r="D93" s="104"/>
      <c r="E93" s="24"/>
      <c r="F93" s="104"/>
      <c r="G93" s="104"/>
      <c r="H93" s="104"/>
      <c r="I93" s="104"/>
      <c r="J93" s="104"/>
      <c r="K93" s="104"/>
      <c r="L93" s="120"/>
      <c r="M93" s="121"/>
      <c r="N93" s="122" t="s">
        <v>0</v>
      </c>
      <c r="V93" s="13" t="s">
        <v>0</v>
      </c>
      <c r="AA93" s="15" t="s">
        <v>0</v>
      </c>
    </row>
    <row r="94" spans="1:27" s="14" customFormat="1" ht="15">
      <c r="A94" s="104"/>
      <c r="B94" s="104"/>
      <c r="C94" s="41"/>
      <c r="D94" s="41" t="s">
        <v>13</v>
      </c>
      <c r="E94" s="29"/>
      <c r="F94" s="42" t="s">
        <v>14</v>
      </c>
      <c r="G94" s="41"/>
      <c r="H94" s="42" t="s">
        <v>15</v>
      </c>
      <c r="I94" s="42" t="s">
        <v>14</v>
      </c>
      <c r="J94" s="41" t="s">
        <v>16</v>
      </c>
      <c r="K94" s="41"/>
      <c r="L94" s="120"/>
      <c r="M94" s="121"/>
      <c r="N94" s="122" t="s">
        <v>0</v>
      </c>
      <c r="V94" s="13" t="s">
        <v>0</v>
      </c>
      <c r="AA94" s="15" t="s">
        <v>0</v>
      </c>
    </row>
    <row r="95" spans="1:22" s="14" customFormat="1" ht="15">
      <c r="A95" s="43" t="s">
        <v>17</v>
      </c>
      <c r="B95" s="138"/>
      <c r="C95" s="44"/>
      <c r="D95" s="44" t="s">
        <v>18</v>
      </c>
      <c r="E95" s="44"/>
      <c r="F95" s="45" t="s">
        <v>19</v>
      </c>
      <c r="G95" s="44"/>
      <c r="H95" s="45" t="s">
        <v>20</v>
      </c>
      <c r="I95" s="45" t="s">
        <v>53</v>
      </c>
      <c r="J95" s="44" t="s">
        <v>21</v>
      </c>
      <c r="K95" s="73"/>
      <c r="L95" s="120"/>
      <c r="M95" s="121"/>
      <c r="N95" s="122" t="s">
        <v>0</v>
      </c>
      <c r="V95" s="13" t="s">
        <v>0</v>
      </c>
    </row>
    <row r="96" spans="1:27" s="14" customFormat="1" ht="12" customHeight="1">
      <c r="A96" s="46"/>
      <c r="B96" s="46"/>
      <c r="C96" s="46"/>
      <c r="D96" s="46"/>
      <c r="E96" s="46"/>
      <c r="F96" s="42"/>
      <c r="G96" s="46"/>
      <c r="H96" s="42"/>
      <c r="I96" s="42"/>
      <c r="J96" s="46"/>
      <c r="K96" s="46"/>
      <c r="L96" s="120"/>
      <c r="M96" s="121"/>
      <c r="N96" s="122" t="s">
        <v>0</v>
      </c>
      <c r="V96" s="13" t="s">
        <v>0</v>
      </c>
      <c r="AA96" s="15" t="s">
        <v>0</v>
      </c>
    </row>
    <row r="97" spans="1:27" s="14" customFormat="1" ht="15">
      <c r="A97" s="47" t="s">
        <v>22</v>
      </c>
      <c r="B97" s="48"/>
      <c r="C97" s="158"/>
      <c r="D97" s="30">
        <v>0</v>
      </c>
      <c r="E97" s="48"/>
      <c r="F97" s="49">
        <v>0</v>
      </c>
      <c r="G97" s="48"/>
      <c r="H97" s="50">
        <v>0</v>
      </c>
      <c r="I97" s="51">
        <v>1</v>
      </c>
      <c r="J97" s="52">
        <f aca="true" t="shared" si="8" ref="J97:J102">(IF(H97&gt;0,PMT(F97,H97,-D97),0))*(I97)</f>
        <v>0</v>
      </c>
      <c r="K97" s="52"/>
      <c r="L97" s="146"/>
      <c r="M97" s="121" t="s">
        <v>0</v>
      </c>
      <c r="N97" s="122" t="s">
        <v>0</v>
      </c>
      <c r="O97" s="53" t="s">
        <v>0</v>
      </c>
      <c r="V97" s="13" t="s">
        <v>0</v>
      </c>
      <c r="AA97" s="15" t="s">
        <v>0</v>
      </c>
    </row>
    <row r="98" spans="1:14" s="14" customFormat="1" ht="15">
      <c r="A98" s="47" t="s">
        <v>23</v>
      </c>
      <c r="B98" s="48"/>
      <c r="C98" s="158"/>
      <c r="D98" s="30">
        <v>0</v>
      </c>
      <c r="E98" s="48"/>
      <c r="F98" s="49">
        <v>0</v>
      </c>
      <c r="G98" s="48"/>
      <c r="H98" s="50">
        <v>0</v>
      </c>
      <c r="I98" s="51">
        <v>1</v>
      </c>
      <c r="J98" s="52">
        <f t="shared" si="8"/>
        <v>0</v>
      </c>
      <c r="K98" s="52"/>
      <c r="L98" s="146"/>
      <c r="M98" s="121"/>
      <c r="N98" s="121"/>
    </row>
    <row r="99" spans="1:14" s="14" customFormat="1" ht="15">
      <c r="A99" s="47" t="s">
        <v>23</v>
      </c>
      <c r="B99" s="48"/>
      <c r="C99" s="158"/>
      <c r="D99" s="30">
        <v>0</v>
      </c>
      <c r="E99" s="48"/>
      <c r="F99" s="49">
        <v>0</v>
      </c>
      <c r="G99" s="48"/>
      <c r="H99" s="50">
        <v>0</v>
      </c>
      <c r="I99" s="51">
        <v>1</v>
      </c>
      <c r="J99" s="52">
        <f t="shared" si="8"/>
        <v>0</v>
      </c>
      <c r="K99" s="52"/>
      <c r="L99" s="146"/>
      <c r="M99" s="121"/>
      <c r="N99" s="121"/>
    </row>
    <row r="100" spans="1:14" s="14" customFormat="1" ht="15">
      <c r="A100" s="47" t="s">
        <v>23</v>
      </c>
      <c r="B100" s="48"/>
      <c r="C100" s="158"/>
      <c r="D100" s="30">
        <v>0</v>
      </c>
      <c r="E100" s="48"/>
      <c r="F100" s="49">
        <v>0</v>
      </c>
      <c r="G100" s="48"/>
      <c r="H100" s="50">
        <v>0</v>
      </c>
      <c r="I100" s="51">
        <v>1</v>
      </c>
      <c r="J100" s="52">
        <f t="shared" si="8"/>
        <v>0</v>
      </c>
      <c r="K100" s="52"/>
      <c r="L100" s="146"/>
      <c r="M100" s="121"/>
      <c r="N100" s="121"/>
    </row>
    <row r="101" spans="1:27" s="14" customFormat="1" ht="15">
      <c r="A101" s="47" t="s">
        <v>23</v>
      </c>
      <c r="B101" s="48"/>
      <c r="C101" s="158"/>
      <c r="D101" s="30">
        <v>0</v>
      </c>
      <c r="E101" s="48"/>
      <c r="F101" s="49">
        <v>0</v>
      </c>
      <c r="G101" s="48"/>
      <c r="H101" s="50">
        <v>0</v>
      </c>
      <c r="I101" s="51">
        <v>1</v>
      </c>
      <c r="J101" s="52">
        <f t="shared" si="8"/>
        <v>0</v>
      </c>
      <c r="K101" s="52"/>
      <c r="L101" s="146"/>
      <c r="M101" s="121" t="s">
        <v>0</v>
      </c>
      <c r="N101" s="122" t="s">
        <v>0</v>
      </c>
      <c r="O101" s="53" t="s">
        <v>0</v>
      </c>
      <c r="V101" s="13" t="s">
        <v>0</v>
      </c>
      <c r="AA101" s="15" t="s">
        <v>0</v>
      </c>
    </row>
    <row r="102" spans="1:27" s="14" customFormat="1" ht="15">
      <c r="A102" s="47" t="s">
        <v>23</v>
      </c>
      <c r="B102" s="48"/>
      <c r="C102" s="158"/>
      <c r="D102" s="30">
        <v>0</v>
      </c>
      <c r="E102" s="48"/>
      <c r="F102" s="49">
        <v>0</v>
      </c>
      <c r="G102" s="48"/>
      <c r="H102" s="50">
        <v>0</v>
      </c>
      <c r="I102" s="51">
        <v>1</v>
      </c>
      <c r="J102" s="52">
        <f t="shared" si="8"/>
        <v>0</v>
      </c>
      <c r="K102" s="52"/>
      <c r="L102" s="146"/>
      <c r="M102" s="121"/>
      <c r="N102" s="122" t="s">
        <v>0</v>
      </c>
      <c r="V102" s="13" t="s">
        <v>0</v>
      </c>
      <c r="AA102" s="15" t="s">
        <v>0</v>
      </c>
    </row>
    <row r="103" spans="1:27" s="14" customFormat="1" ht="12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5"/>
      <c r="K103" s="165"/>
      <c r="L103" s="146"/>
      <c r="M103" s="121"/>
      <c r="N103" s="122" t="s">
        <v>0</v>
      </c>
      <c r="V103" s="13" t="s">
        <v>0</v>
      </c>
      <c r="AA103" s="15" t="s">
        <v>0</v>
      </c>
    </row>
    <row r="104" spans="1:27" s="14" customFormat="1" ht="15" thickBot="1">
      <c r="A104" s="126"/>
      <c r="B104" s="126"/>
      <c r="C104" s="147"/>
      <c r="D104" s="56"/>
      <c r="E104" s="126"/>
      <c r="F104" s="57" t="s">
        <v>11</v>
      </c>
      <c r="G104" s="148"/>
      <c r="H104" s="148"/>
      <c r="I104" s="58"/>
      <c r="J104" s="59">
        <f>SUM(J97:J102)</f>
        <v>0</v>
      </c>
      <c r="K104" s="166"/>
      <c r="L104" s="146"/>
      <c r="M104" s="121"/>
      <c r="N104" s="122" t="s">
        <v>0</v>
      </c>
      <c r="V104" s="13" t="s">
        <v>0</v>
      </c>
      <c r="AA104" s="15" t="s">
        <v>0</v>
      </c>
    </row>
    <row r="105" spans="1:27" s="14" customFormat="1" ht="15" thickTop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120"/>
      <c r="M105" s="121"/>
      <c r="N105" s="122" t="s">
        <v>0</v>
      </c>
      <c r="V105" s="13" t="s">
        <v>0</v>
      </c>
      <c r="AA105" s="15" t="s">
        <v>0</v>
      </c>
    </row>
    <row r="106" spans="1:20" ht="15">
      <c r="A106" s="201"/>
      <c r="B106" s="115" t="s">
        <v>120</v>
      </c>
      <c r="C106" s="115"/>
      <c r="D106" s="115"/>
      <c r="E106" s="115"/>
      <c r="F106" s="115"/>
      <c r="G106" s="115"/>
      <c r="H106" s="115"/>
      <c r="I106" s="115"/>
      <c r="J106" s="115"/>
      <c r="K106" s="104"/>
      <c r="L106" s="103"/>
      <c r="M106" s="102"/>
      <c r="N106" s="102"/>
      <c r="P106" s="2"/>
      <c r="Q106" s="3"/>
      <c r="R106" s="3"/>
      <c r="S106" s="3"/>
      <c r="T106" s="3"/>
    </row>
    <row r="107" spans="1:27" ht="15">
      <c r="A107" s="201"/>
      <c r="B107" s="115"/>
      <c r="C107" s="115"/>
      <c r="D107" s="115"/>
      <c r="E107" s="202"/>
      <c r="F107" s="115"/>
      <c r="G107" s="115"/>
      <c r="H107" s="202"/>
      <c r="I107" s="115"/>
      <c r="J107" s="115"/>
      <c r="K107" s="115"/>
      <c r="L107" s="103"/>
      <c r="M107" s="102"/>
      <c r="N107" s="102"/>
      <c r="P107" s="2"/>
      <c r="AA107" s="8" t="s">
        <v>0</v>
      </c>
    </row>
    <row r="108" spans="1:27" ht="15">
      <c r="A108" s="201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03"/>
      <c r="M108" s="102"/>
      <c r="N108" s="110" t="s">
        <v>0</v>
      </c>
      <c r="V108" s="2" t="s">
        <v>0</v>
      </c>
      <c r="AA108" s="8" t="s">
        <v>0</v>
      </c>
    </row>
    <row r="109" spans="1:22" ht="15">
      <c r="A109" s="203"/>
      <c r="B109" s="164"/>
      <c r="C109" s="164"/>
      <c r="D109" s="164"/>
      <c r="E109" s="164"/>
      <c r="F109" s="115"/>
      <c r="G109" s="115"/>
      <c r="H109" s="115"/>
      <c r="I109" s="115"/>
      <c r="J109" s="115"/>
      <c r="K109" s="115"/>
      <c r="L109" s="103"/>
      <c r="M109" s="119" t="s">
        <v>0</v>
      </c>
      <c r="N109" s="110" t="s">
        <v>0</v>
      </c>
      <c r="O109" s="5" t="s">
        <v>0</v>
      </c>
      <c r="V109" s="2" t="s">
        <v>0</v>
      </c>
    </row>
    <row r="110" spans="1:27" ht="15">
      <c r="A110" s="203"/>
      <c r="B110" s="164"/>
      <c r="C110" s="164"/>
      <c r="D110" s="164"/>
      <c r="E110" s="164"/>
      <c r="F110" s="204"/>
      <c r="G110" s="115"/>
      <c r="H110" s="202"/>
      <c r="I110" s="204"/>
      <c r="J110" s="128"/>
      <c r="K110" s="128"/>
      <c r="L110" s="103"/>
      <c r="M110" s="119" t="s">
        <v>0</v>
      </c>
      <c r="N110" s="110" t="s">
        <v>0</v>
      </c>
      <c r="O110" s="5" t="s">
        <v>0</v>
      </c>
      <c r="V110" s="2" t="s">
        <v>0</v>
      </c>
      <c r="AA110" s="4" t="s">
        <v>0</v>
      </c>
    </row>
    <row r="111" spans="1:27" ht="15">
      <c r="A111" s="201"/>
      <c r="B111" s="164"/>
      <c r="C111" s="164"/>
      <c r="D111" s="164"/>
      <c r="E111" s="164"/>
      <c r="F111" s="204"/>
      <c r="G111" s="115"/>
      <c r="H111" s="202"/>
      <c r="I111" s="204"/>
      <c r="J111" s="128"/>
      <c r="K111" s="42"/>
      <c r="L111" s="103"/>
      <c r="M111" s="119" t="s">
        <v>0</v>
      </c>
      <c r="N111" s="110" t="s">
        <v>0</v>
      </c>
      <c r="O111" s="5" t="s">
        <v>0</v>
      </c>
      <c r="V111" s="2" t="s">
        <v>0</v>
      </c>
      <c r="AA111" s="4" t="s">
        <v>0</v>
      </c>
    </row>
    <row r="112" spans="1:27" ht="15">
      <c r="A112" s="205"/>
      <c r="B112" s="164"/>
      <c r="C112" s="164"/>
      <c r="D112" s="164"/>
      <c r="E112" s="164"/>
      <c r="F112" s="204"/>
      <c r="G112" s="115"/>
      <c r="H112" s="202"/>
      <c r="I112" s="204"/>
      <c r="J112" s="128"/>
      <c r="K112" s="42"/>
      <c r="L112" s="103"/>
      <c r="M112" s="119" t="s">
        <v>0</v>
      </c>
      <c r="N112" s="110" t="s">
        <v>0</v>
      </c>
      <c r="O112" s="5" t="s">
        <v>0</v>
      </c>
      <c r="V112" s="2" t="s">
        <v>0</v>
      </c>
      <c r="AA112" s="4" t="s">
        <v>0</v>
      </c>
    </row>
    <row r="113" spans="1:27" ht="15">
      <c r="A113" s="206"/>
      <c r="B113" s="164"/>
      <c r="C113" s="164"/>
      <c r="D113" s="164"/>
      <c r="E113" s="164"/>
      <c r="F113" s="204"/>
      <c r="G113" s="115"/>
      <c r="H113" s="202"/>
      <c r="I113" s="204"/>
      <c r="J113" s="128"/>
      <c r="K113" s="42"/>
      <c r="L113" s="103"/>
      <c r="M113" s="119" t="s">
        <v>0</v>
      </c>
      <c r="N113" s="110" t="s">
        <v>0</v>
      </c>
      <c r="O113" s="5" t="s">
        <v>0</v>
      </c>
      <c r="V113" s="2" t="s">
        <v>0</v>
      </c>
      <c r="AA113" s="4" t="s">
        <v>0</v>
      </c>
    </row>
    <row r="114" spans="1:27" ht="15">
      <c r="A114" s="206"/>
      <c r="B114" s="115"/>
      <c r="C114" s="115"/>
      <c r="D114" s="115"/>
      <c r="E114" s="115"/>
      <c r="F114" s="150"/>
      <c r="G114" s="164"/>
      <c r="H114" s="164"/>
      <c r="I114" s="164"/>
      <c r="J114" s="164"/>
      <c r="K114" s="102"/>
      <c r="L114" s="149"/>
      <c r="M114" s="119" t="s">
        <v>0</v>
      </c>
      <c r="N114" s="110" t="s">
        <v>0</v>
      </c>
      <c r="O114" s="5" t="s">
        <v>0</v>
      </c>
      <c r="V114" s="2" t="s">
        <v>0</v>
      </c>
      <c r="AA114" s="8" t="s">
        <v>0</v>
      </c>
    </row>
    <row r="115" spans="1:27" ht="15" customHeight="1">
      <c r="A115" s="206"/>
      <c r="B115" s="87"/>
      <c r="C115" s="87"/>
      <c r="D115" s="207"/>
      <c r="E115" s="115"/>
      <c r="F115" s="150"/>
      <c r="G115" s="164"/>
      <c r="H115" s="164"/>
      <c r="I115" s="164"/>
      <c r="J115" s="164"/>
      <c r="K115" s="102"/>
      <c r="L115" s="149"/>
      <c r="M115" s="119"/>
      <c r="N115" s="110"/>
      <c r="O115" s="5"/>
      <c r="V115" s="2"/>
      <c r="AA115" s="8"/>
    </row>
    <row r="116" spans="1:27" ht="15" customHeight="1">
      <c r="A116" s="164"/>
      <c r="B116" s="87"/>
      <c r="C116" s="87"/>
      <c r="D116" s="207"/>
      <c r="E116" s="115"/>
      <c r="F116" s="150"/>
      <c r="G116" s="164"/>
      <c r="H116" s="164"/>
      <c r="I116" s="164"/>
      <c r="J116" s="164"/>
      <c r="K116" s="102"/>
      <c r="L116" s="149"/>
      <c r="M116" s="119"/>
      <c r="N116" s="110"/>
      <c r="O116" s="5"/>
      <c r="V116" s="2"/>
      <c r="AA116" s="8"/>
    </row>
    <row r="117" spans="1:27" ht="15" customHeight="1">
      <c r="A117" s="203"/>
      <c r="B117" s="87"/>
      <c r="C117" s="87"/>
      <c r="D117" s="207"/>
      <c r="E117" s="115"/>
      <c r="F117" s="150"/>
      <c r="G117" s="164"/>
      <c r="H117" s="164"/>
      <c r="I117" s="164"/>
      <c r="J117" s="164"/>
      <c r="K117" s="164"/>
      <c r="L117" s="149"/>
      <c r="M117" s="119" t="s">
        <v>0</v>
      </c>
      <c r="N117" s="110" t="s">
        <v>0</v>
      </c>
      <c r="O117" s="5" t="s">
        <v>0</v>
      </c>
      <c r="V117" s="2" t="s">
        <v>0</v>
      </c>
      <c r="AA117" s="8" t="s">
        <v>0</v>
      </c>
    </row>
    <row r="118" spans="1:27" ht="15" customHeight="1">
      <c r="A118" s="164"/>
      <c r="B118" s="87"/>
      <c r="C118" s="87"/>
      <c r="D118" s="207"/>
      <c r="E118" s="115"/>
      <c r="F118" s="150"/>
      <c r="G118" s="164"/>
      <c r="H118" s="164"/>
      <c r="I118" s="164"/>
      <c r="J118" s="164"/>
      <c r="K118" s="164"/>
      <c r="L118" s="149"/>
      <c r="M118" s="102"/>
      <c r="N118" s="110" t="s">
        <v>0</v>
      </c>
      <c r="V118" s="2" t="s">
        <v>0</v>
      </c>
      <c r="AA118" s="8" t="s">
        <v>0</v>
      </c>
    </row>
    <row r="119" spans="1:25" s="14" customFormat="1" ht="15">
      <c r="A119" s="94"/>
      <c r="B119" s="130"/>
      <c r="C119" s="130"/>
      <c r="D119" s="130"/>
      <c r="E119" s="130"/>
      <c r="F119" s="208"/>
      <c r="G119" s="130"/>
      <c r="H119" s="167"/>
      <c r="I119" s="167"/>
      <c r="J119" s="167"/>
      <c r="K119" s="167"/>
      <c r="L119" s="127"/>
      <c r="M119" s="121"/>
      <c r="N119" s="121"/>
      <c r="O119" s="53"/>
      <c r="T119" s="13" t="s">
        <v>0</v>
      </c>
      <c r="Y119" s="15" t="s">
        <v>0</v>
      </c>
    </row>
    <row r="120" spans="1:25" s="14" customFormat="1" ht="15" customHeight="1">
      <c r="A120" s="214"/>
      <c r="B120" s="216"/>
      <c r="C120" s="216"/>
      <c r="D120" s="216"/>
      <c r="E120" s="216"/>
      <c r="F120" s="216"/>
      <c r="G120" s="216"/>
      <c r="H120" s="216"/>
      <c r="I120" s="216"/>
      <c r="J120" s="216"/>
      <c r="K120" s="1"/>
      <c r="L120" s="95"/>
      <c r="M120" s="53"/>
      <c r="T120" s="13"/>
      <c r="Y120" s="15"/>
    </row>
    <row r="121" spans="1:25" s="14" customFormat="1" ht="15" customHeight="1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/>
      <c r="L121" s="95"/>
      <c r="M121" s="53"/>
      <c r="T121" s="13"/>
      <c r="Y121" s="15"/>
    </row>
    <row r="122" spans="4:12" s="14" customFormat="1" ht="15">
      <c r="D122" s="16"/>
      <c r="F122" s="61"/>
      <c r="L122" s="95"/>
    </row>
    <row r="123" spans="4:27" ht="15">
      <c r="D123" s="16"/>
      <c r="L123" s="95"/>
      <c r="M123" s="5" t="s">
        <v>0</v>
      </c>
      <c r="N123" s="2" t="s">
        <v>0</v>
      </c>
      <c r="O123" s="5" t="s">
        <v>0</v>
      </c>
      <c r="V123" s="2" t="s">
        <v>0</v>
      </c>
      <c r="AA123" s="8" t="s">
        <v>0</v>
      </c>
    </row>
    <row r="124" spans="4:27" ht="15">
      <c r="D124" s="16"/>
      <c r="L124" s="95"/>
      <c r="M124" s="5" t="s">
        <v>0</v>
      </c>
      <c r="N124" s="2" t="s">
        <v>0</v>
      </c>
      <c r="O124" s="5" t="s">
        <v>0</v>
      </c>
      <c r="V124" s="2" t="s">
        <v>0</v>
      </c>
      <c r="AA124" s="8" t="s">
        <v>0</v>
      </c>
    </row>
    <row r="125" spans="4:27" ht="15">
      <c r="D125" s="16"/>
      <c r="L125" s="95"/>
      <c r="M125" s="5" t="s">
        <v>0</v>
      </c>
      <c r="N125" s="2" t="s">
        <v>0</v>
      </c>
      <c r="O125" s="5" t="s">
        <v>0</v>
      </c>
      <c r="V125" s="2" t="s">
        <v>0</v>
      </c>
      <c r="AA125" s="8" t="s">
        <v>0</v>
      </c>
    </row>
    <row r="126" spans="4:27" ht="15">
      <c r="D126" s="16"/>
      <c r="L126" s="95"/>
      <c r="M126" s="5" t="s">
        <v>0</v>
      </c>
      <c r="N126" s="2" t="s">
        <v>0</v>
      </c>
      <c r="O126" s="5" t="s">
        <v>0</v>
      </c>
      <c r="V126" s="2" t="s">
        <v>0</v>
      </c>
      <c r="AA126" s="8" t="s">
        <v>0</v>
      </c>
    </row>
    <row r="127" spans="4:22" ht="15">
      <c r="D127" s="16"/>
      <c r="L127" s="14"/>
      <c r="M127" s="5" t="s">
        <v>0</v>
      </c>
      <c r="N127" s="2" t="s">
        <v>0</v>
      </c>
      <c r="O127" s="5" t="s">
        <v>0</v>
      </c>
      <c r="V127" s="2" t="s">
        <v>0</v>
      </c>
    </row>
    <row r="128" spans="4:22" ht="15">
      <c r="D128" s="16"/>
      <c r="M128" s="5" t="s">
        <v>0</v>
      </c>
      <c r="N128" s="2" t="s">
        <v>0</v>
      </c>
      <c r="O128" s="5" t="s">
        <v>0</v>
      </c>
      <c r="V128" s="2" t="s">
        <v>0</v>
      </c>
    </row>
    <row r="129" spans="4:22" ht="15">
      <c r="D129" s="16"/>
      <c r="M129" s="5" t="s">
        <v>0</v>
      </c>
      <c r="N129" s="2" t="s">
        <v>0</v>
      </c>
      <c r="O129" s="5" t="s">
        <v>0</v>
      </c>
      <c r="V129" s="2" t="s">
        <v>0</v>
      </c>
    </row>
    <row r="130" spans="1:22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V130" s="2" t="s">
        <v>0</v>
      </c>
    </row>
    <row r="131" ht="15">
      <c r="D131" s="16"/>
    </row>
    <row r="132" ht="15">
      <c r="D132" s="16"/>
    </row>
    <row r="133" ht="15">
      <c r="D133" s="16"/>
    </row>
    <row r="134" ht="15">
      <c r="D134" s="16"/>
    </row>
    <row r="135" ht="15">
      <c r="D135" s="16"/>
    </row>
    <row r="152" ht="15">
      <c r="F152" s="12"/>
    </row>
    <row r="153" spans="1:11" ht="15">
      <c r="A153" s="2"/>
      <c r="B153" s="2"/>
      <c r="C153" s="2"/>
      <c r="D153" s="2"/>
      <c r="E153" s="2"/>
      <c r="G153" s="2"/>
      <c r="H153" s="2"/>
      <c r="I153" s="2"/>
      <c r="J153" s="2"/>
      <c r="K153" s="2"/>
    </row>
    <row r="156" ht="15">
      <c r="F156" s="11"/>
    </row>
    <row r="157" spans="2:6" ht="15">
      <c r="B157" s="5"/>
      <c r="C157" s="5"/>
      <c r="D157" s="5"/>
      <c r="E157" s="5"/>
      <c r="F157" s="11"/>
    </row>
    <row r="158" spans="2:12" ht="15">
      <c r="B158" s="5"/>
      <c r="C158" s="5"/>
      <c r="D158" s="5"/>
      <c r="E158" s="5"/>
      <c r="F158" s="11"/>
      <c r="L158" s="5"/>
    </row>
    <row r="159" spans="2:6" ht="15">
      <c r="B159" s="5"/>
      <c r="C159" s="5"/>
      <c r="D159" s="5"/>
      <c r="E159" s="5"/>
      <c r="F159" s="11"/>
    </row>
    <row r="160" spans="2:6" ht="15">
      <c r="B160" s="5"/>
      <c r="C160" s="5"/>
      <c r="D160" s="5"/>
      <c r="E160" s="5"/>
      <c r="F160" s="11"/>
    </row>
    <row r="161" spans="2:17" ht="15">
      <c r="B161" s="5"/>
      <c r="C161" s="5"/>
      <c r="D161" s="5"/>
      <c r="E161" s="5"/>
      <c r="M161" s="9"/>
      <c r="O161" s="9"/>
      <c r="P161" s="3"/>
      <c r="Q161" s="3"/>
    </row>
    <row r="162" spans="2:3" ht="15">
      <c r="B162" s="5"/>
      <c r="C162" s="5"/>
    </row>
    <row r="163" spans="2:18" ht="15">
      <c r="B163" s="5"/>
      <c r="C163" s="5"/>
      <c r="M163" s="3"/>
      <c r="N163" s="5"/>
      <c r="O163" s="3"/>
      <c r="P163" s="3"/>
      <c r="Q163" s="3"/>
      <c r="R163" s="6"/>
    </row>
    <row r="164" spans="2:17" ht="15">
      <c r="B164" s="5"/>
      <c r="C164" s="5"/>
      <c r="M164" s="3"/>
      <c r="N164" s="5"/>
      <c r="O164" s="3"/>
      <c r="P164" s="3"/>
      <c r="Q164" s="3"/>
    </row>
    <row r="165" spans="2:17" ht="15">
      <c r="B165" s="5"/>
      <c r="C165" s="5"/>
      <c r="M165" s="3"/>
      <c r="N165" s="5"/>
      <c r="O165" s="3"/>
      <c r="P165" s="3"/>
      <c r="Q165" s="3"/>
    </row>
    <row r="166" spans="2:17" ht="15">
      <c r="B166" s="5"/>
      <c r="C166" s="5"/>
      <c r="L166" s="5"/>
      <c r="M166" s="3"/>
      <c r="N166" s="5"/>
      <c r="O166" s="3"/>
      <c r="P166" s="3"/>
      <c r="Q166" s="3"/>
    </row>
    <row r="167" spans="2:17" ht="15">
      <c r="B167" s="5"/>
      <c r="C167" s="5"/>
      <c r="M167" s="3"/>
      <c r="N167" s="5"/>
      <c r="O167" s="3"/>
      <c r="P167" s="3"/>
      <c r="Q167" s="3"/>
    </row>
    <row r="168" spans="13:17" ht="15">
      <c r="M168" s="3"/>
      <c r="N168" s="5"/>
      <c r="O168" s="3"/>
      <c r="P168" s="3"/>
      <c r="Q168" s="3"/>
    </row>
    <row r="169" spans="6:17" ht="15">
      <c r="F169" s="11"/>
      <c r="M169" s="3"/>
      <c r="N169" s="5"/>
      <c r="O169" s="3"/>
      <c r="P169" s="3"/>
      <c r="Q169" s="3"/>
    </row>
    <row r="170" spans="1:5" ht="15">
      <c r="A170" s="5"/>
      <c r="B170" s="5"/>
      <c r="C170" s="5"/>
      <c r="D170" s="5"/>
      <c r="E170" s="5"/>
    </row>
    <row r="171" spans="2:17" ht="15">
      <c r="B171" s="5"/>
      <c r="C171" s="5"/>
      <c r="L171" s="5"/>
      <c r="M171" s="3"/>
      <c r="N171" s="5"/>
      <c r="O171" s="3"/>
      <c r="P171" s="3"/>
      <c r="Q171" s="3"/>
    </row>
    <row r="172" spans="2:17" ht="15">
      <c r="B172" s="5"/>
      <c r="C172" s="5"/>
      <c r="M172" s="3"/>
      <c r="N172" s="5"/>
      <c r="O172" s="3"/>
      <c r="P172" s="3"/>
      <c r="Q172" s="3"/>
    </row>
    <row r="173" spans="2:17" ht="15">
      <c r="B173" s="5"/>
      <c r="C173" s="5"/>
      <c r="M173" s="3"/>
      <c r="N173" s="5"/>
      <c r="O173" s="3"/>
      <c r="P173" s="3"/>
      <c r="Q173" s="3"/>
    </row>
    <row r="174" spans="2:17" ht="15">
      <c r="B174" s="5"/>
      <c r="C174" s="5"/>
      <c r="M174" s="3"/>
      <c r="N174" s="5"/>
      <c r="O174" s="3"/>
      <c r="P174" s="3"/>
      <c r="Q174" s="3"/>
    </row>
    <row r="175" spans="2:3" ht="15">
      <c r="B175" s="5"/>
      <c r="C175" s="5"/>
    </row>
    <row r="176" spans="2:17" ht="15">
      <c r="B176" s="5"/>
      <c r="C176" s="5"/>
      <c r="M176" s="3"/>
      <c r="N176" s="5"/>
      <c r="O176" s="3"/>
      <c r="P176" s="3"/>
      <c r="Q176" s="3"/>
    </row>
    <row r="177" spans="2:17" ht="15">
      <c r="B177" s="5"/>
      <c r="C177" s="5"/>
      <c r="M177" s="3"/>
      <c r="N177" s="5"/>
      <c r="O177" s="3"/>
      <c r="P177" s="3"/>
      <c r="Q177" s="3"/>
    </row>
    <row r="178" spans="2:17" ht="15">
      <c r="B178" s="5"/>
      <c r="C178" s="5"/>
      <c r="M178" s="3"/>
      <c r="N178" s="5"/>
      <c r="O178" s="3"/>
      <c r="P178" s="3"/>
      <c r="Q178" s="3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  <row r="220" spans="2:3" ht="15">
      <c r="B220" s="5"/>
      <c r="C220" s="5"/>
    </row>
    <row r="221" spans="2:3" ht="15">
      <c r="B221" s="5"/>
      <c r="C221" s="5"/>
    </row>
    <row r="222" spans="2:3" ht="15">
      <c r="B222" s="5"/>
      <c r="C222" s="5"/>
    </row>
    <row r="223" spans="2:3" ht="15">
      <c r="B223" s="5"/>
      <c r="C223" s="5"/>
    </row>
    <row r="224" spans="2:3" ht="15">
      <c r="B224" s="5"/>
      <c r="C224" s="5"/>
    </row>
    <row r="225" spans="2:3" ht="15">
      <c r="B225" s="5"/>
      <c r="C225" s="5"/>
    </row>
    <row r="226" spans="2:3" ht="15">
      <c r="B226" s="5"/>
      <c r="C226" s="5"/>
    </row>
    <row r="227" spans="2:3" ht="15">
      <c r="B227" s="5"/>
      <c r="C227" s="5"/>
    </row>
    <row r="228" spans="2:3" ht="15">
      <c r="B228" s="5"/>
      <c r="C228" s="5"/>
    </row>
    <row r="229" spans="2:3" ht="15">
      <c r="B229" s="5"/>
      <c r="C229" s="5"/>
    </row>
    <row r="230" spans="2:3" ht="15">
      <c r="B230" s="5"/>
      <c r="C230" s="5"/>
    </row>
  </sheetData>
  <sheetProtection password="D2B9" sheet="1" objects="1" scenarios="1"/>
  <mergeCells count="12">
    <mergeCell ref="A3:J3"/>
    <mergeCell ref="A51:K51"/>
    <mergeCell ref="A2:L2"/>
    <mergeCell ref="A36:B36"/>
    <mergeCell ref="A38:B38"/>
    <mergeCell ref="A39:B39"/>
    <mergeCell ref="A121:J121"/>
    <mergeCell ref="A120:J120"/>
    <mergeCell ref="A50:J50"/>
    <mergeCell ref="A55:B55"/>
    <mergeCell ref="D55:J55"/>
    <mergeCell ref="D57:J57"/>
  </mergeCells>
  <printOptions horizontalCentered="1" verticalCentered="1"/>
  <pageMargins left="0.7" right="0.45" top="0.25" bottom="0.25" header="0.5" footer="0.5"/>
  <pageSetup fitToHeight="1" fitToWidth="1" horizontalDpi="1200" verticalDpi="1200" orientation="portrait" scale="61" r:id="rId3"/>
  <ignoredErrors>
    <ignoredError sqref="I37 H41 G48" formula="1"/>
    <ignoredError sqref="C41 G5:G6 M5:M6 J11:J15 J16 J49 J19:J4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Budget</dc:title>
  <dc:subject>Livestock Budget</dc:subject>
  <dc:creator>Eric Eberly</dc:creator>
  <cp:keywords/>
  <dc:description/>
  <cp:lastModifiedBy>Laura</cp:lastModifiedBy>
  <cp:lastPrinted>2011-02-28T19:29:42Z</cp:lastPrinted>
  <dcterms:created xsi:type="dcterms:W3CDTF">1999-09-14T15:50:48Z</dcterms:created>
  <dcterms:modified xsi:type="dcterms:W3CDTF">2017-03-09T22:00:50Z</dcterms:modified>
  <cp:category/>
  <cp:version/>
  <cp:contentType/>
  <cp:contentStatus/>
</cp:coreProperties>
</file>