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652" activeTab="0"/>
  </bookViews>
  <sheets>
    <sheet name="Dairy Heifers" sheetId="1" r:id="rId1"/>
  </sheets>
  <definedNames>
    <definedName name="_xlnm.Print_Area" localSheetId="0">'Dairy Heifers'!$A$1:$J$118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F32" authorId="0">
      <text>
        <r>
          <rPr>
            <b/>
            <sz val="8"/>
            <rFont val="Tahoma"/>
            <family val="0"/>
          </rPr>
          <t>Vet &amp; Medicine totals are from Page 2, Section 10.</t>
        </r>
      </text>
    </comment>
    <comment ref="F38" authorId="0">
      <text>
        <r>
          <rPr>
            <b/>
            <sz val="8"/>
            <rFont val="Tahoma"/>
            <family val="0"/>
          </rPr>
          <t>Marketing Charge is $3.50 per Head plus 2% of Gross Sale Proceeds.</t>
        </r>
      </text>
    </comment>
    <comment ref="H44" authorId="0">
      <text>
        <r>
          <rPr>
            <b/>
            <sz val="8"/>
            <rFont val="Tahoma"/>
            <family val="0"/>
          </rPr>
          <t>Total Variable Cost - Hauling &amp; Marketing Expense.</t>
        </r>
      </text>
    </comment>
    <comment ref="F43" authorId="0">
      <text>
        <r>
          <rPr>
            <b/>
            <sz val="8"/>
            <rFont val="Tahoma"/>
            <family val="0"/>
          </rPr>
          <t>Add FICA and other employer paid taxes to hourly wage.</t>
        </r>
      </text>
    </comment>
    <comment ref="B32" authorId="0">
      <text>
        <r>
          <rPr>
            <b/>
            <sz val="8"/>
            <rFont val="Tahoma"/>
            <family val="0"/>
          </rPr>
          <t>Enter your Vet &amp; Medicine Costs if totals on Page 2, Section 10 do not apply.</t>
        </r>
      </text>
    </comment>
    <comment ref="B19" authorId="0">
      <text>
        <r>
          <rPr>
            <b/>
            <sz val="8"/>
            <rFont val="Tahoma"/>
            <family val="0"/>
          </rPr>
          <t>Storage, Handling &amp; Feeding Loss. Your values cound be significantly different.</t>
        </r>
      </text>
    </comment>
    <comment ref="B111" authorId="0">
      <text>
        <r>
          <rPr>
            <b/>
            <sz val="8"/>
            <rFont val="Tahoma"/>
            <family val="0"/>
          </rPr>
          <t>Percent of Animals needing treatment</t>
        </r>
      </text>
    </comment>
    <comment ref="A99" authorId="0">
      <text>
        <r>
          <rPr>
            <b/>
            <sz val="8"/>
            <rFont val="Tahoma"/>
            <family val="0"/>
          </rPr>
          <t>Given between 4 and 12 months of age.</t>
        </r>
      </text>
    </comment>
    <comment ref="F108" authorId="0">
      <text>
        <r>
          <rPr>
            <b/>
            <sz val="8"/>
            <rFont val="Tahoma"/>
            <family val="0"/>
          </rPr>
          <t>GnRH system using Contracted Technicians</t>
        </r>
      </text>
    </comment>
    <comment ref="F109" authorId="0">
      <text>
        <r>
          <rPr>
            <sz val="8"/>
            <rFont val="Tahoma"/>
            <family val="0"/>
          </rPr>
          <t>Average Cost to Pregnancy Check 100 Cows at 1 time.</t>
        </r>
      </text>
    </comment>
    <comment ref="D98" authorId="0">
      <text>
        <r>
          <rPr>
            <b/>
            <sz val="8"/>
            <rFont val="Tahoma"/>
            <family val="0"/>
          </rPr>
          <t>Follow label requirements.</t>
        </r>
      </text>
    </comment>
    <comment ref="D97" authorId="0">
      <text>
        <r>
          <rPr>
            <b/>
            <sz val="8"/>
            <rFont val="Tahoma"/>
            <family val="0"/>
          </rPr>
          <t>Follow label requirements.</t>
        </r>
      </text>
    </comment>
    <comment ref="D106" authorId="0">
      <text>
        <r>
          <rPr>
            <b/>
            <sz val="8"/>
            <rFont val="Tahoma"/>
            <family val="0"/>
          </rPr>
          <t>60 Days prior to Freshening</t>
        </r>
      </text>
    </comment>
    <comment ref="C69" authorId="0">
      <text>
        <r>
          <rPr>
            <b/>
            <sz val="8"/>
            <rFont val="Tahoma"/>
            <family val="0"/>
          </rPr>
          <t>Enter Weight of feed unit in Column C if purchased by the Bushel or CWT.</t>
        </r>
      </text>
    </comment>
  </commentList>
</comments>
</file>

<file path=xl/sharedStrings.xml><?xml version="1.0" encoding="utf-8"?>
<sst xmlns="http://schemas.openxmlformats.org/spreadsheetml/2006/main" count="440" uniqueCount="151">
  <si>
    <t/>
  </si>
  <si>
    <t>TOTAL</t>
  </si>
  <si>
    <t>UNIT</t>
  </si>
  <si>
    <t>QUANTITY</t>
  </si>
  <si>
    <t>PRICE</t>
  </si>
  <si>
    <t>ITEM</t>
  </si>
  <si>
    <t xml:space="preserve"> </t>
  </si>
  <si>
    <t xml:space="preserve"> SBOM 48%</t>
  </si>
  <si>
    <t xml:space="preserve">       TOTAL ANNUAL DEBT PAYMENTS</t>
  </si>
  <si>
    <t>IBR PI3 BVD BRSV</t>
  </si>
  <si>
    <t>/Liter</t>
  </si>
  <si>
    <t>Lbs</t>
  </si>
  <si>
    <t>Page 2</t>
  </si>
  <si>
    <t>Fly Tags</t>
  </si>
  <si>
    <t>7-way clostridial</t>
  </si>
  <si>
    <t>Tags  @</t>
  </si>
  <si>
    <t>Dose @</t>
  </si>
  <si>
    <t>/Dose</t>
  </si>
  <si>
    <t>Per Trip</t>
  </si>
  <si>
    <t>/Each</t>
  </si>
  <si>
    <t xml:space="preserve"> Corn Silage</t>
  </si>
  <si>
    <t xml:space="preserve"> Corn Grain</t>
  </si>
  <si>
    <t>Number Head =</t>
  </si>
  <si>
    <t>Days Fed =</t>
  </si>
  <si>
    <t xml:space="preserve"> Other Feed</t>
  </si>
  <si>
    <t xml:space="preserve"> Grinding &amp; Mixing</t>
  </si>
  <si>
    <t xml:space="preserve"> Supplies</t>
  </si>
  <si>
    <t xml:space="preserve"> Pasture</t>
  </si>
  <si>
    <t xml:space="preserve"> Building &amp; Fence Repairs</t>
  </si>
  <si>
    <t xml:space="preserve"> Utilities</t>
  </si>
  <si>
    <t xml:space="preserve"> Other,(insurance etc.)</t>
  </si>
  <si>
    <t xml:space="preserve"> Labor</t>
  </si>
  <si>
    <t xml:space="preserve"> Machinery (Non-Crop)</t>
  </si>
  <si>
    <t>Cwt</t>
  </si>
  <si>
    <t>Head</t>
  </si>
  <si>
    <t>Acre</t>
  </si>
  <si>
    <t>Hours</t>
  </si>
  <si>
    <t>Total</t>
  </si>
  <si>
    <t>Quantity</t>
  </si>
  <si>
    <t>(Tons)</t>
  </si>
  <si>
    <t xml:space="preserve"> __________</t>
  </si>
  <si>
    <t xml:space="preserve"> Item Name</t>
  </si>
  <si>
    <t>Trip(s) @</t>
  </si>
  <si>
    <t>Trade and brand names are used only for the purpose of providing information.  Virginia Cooperative Extension does not guarantee or warrant</t>
  </si>
  <si>
    <t>the standard of any product named to the exclusion of others which also may be suitable.</t>
  </si>
  <si>
    <t>ml./100 lbs</t>
  </si>
  <si>
    <t xml:space="preserve"> Feed</t>
  </si>
  <si>
    <t xml:space="preserve">  Item</t>
  </si>
  <si>
    <t>Amount</t>
  </si>
  <si>
    <t>Borrowed</t>
  </si>
  <si>
    <t>Percent</t>
  </si>
  <si>
    <t>Interest</t>
  </si>
  <si>
    <t>Length</t>
  </si>
  <si>
    <t>of Loan</t>
  </si>
  <si>
    <t>to Beef</t>
  </si>
  <si>
    <t>Annual</t>
  </si>
  <si>
    <t>Payment</t>
  </si>
  <si>
    <t xml:space="preserve"> Vet &amp; Medicine</t>
  </si>
  <si>
    <t>Change in</t>
  </si>
  <si>
    <t>Pour-on De-wormer</t>
  </si>
  <si>
    <t>Table Sensitivity Increment</t>
  </si>
  <si>
    <t>Pasteurella with leukotoxoid</t>
  </si>
  <si>
    <t xml:space="preserve"> Operating Interest</t>
  </si>
  <si>
    <t>Months</t>
  </si>
  <si>
    <t>Dollars</t>
  </si>
  <si>
    <t>$/Head</t>
  </si>
  <si>
    <t>5. ANNUAL DEBT PAYMENTS</t>
  </si>
  <si>
    <t>1. GROSS RECEIPTS</t>
  </si>
  <si>
    <t>3. VARIABLE COSTS</t>
  </si>
  <si>
    <t>Costs</t>
  </si>
  <si>
    <t>2. TOTAL GROSS RECEIPTS</t>
  </si>
  <si>
    <t>6. PROJECTED NET RETURN TO EQUITY, MANAGEMENT, &amp; FAMILY LABOR</t>
  </si>
  <si>
    <t>4. TOTAL VARIABLE COSTS</t>
  </si>
  <si>
    <t>Your Farm</t>
  </si>
  <si>
    <t>.</t>
  </si>
  <si>
    <t>7. Price Sensitivity Analysis</t>
  </si>
  <si>
    <t xml:space="preserve"> 9. ANNUAL DEBT SERVICE</t>
  </si>
  <si>
    <t xml:space="preserve"> 10. ANIMAL HEALTH PROGRAM</t>
  </si>
  <si>
    <t>Your Farm Veterinarian</t>
  </si>
  <si>
    <t>Feed Loss</t>
  </si>
  <si>
    <t xml:space="preserve">  Procurement</t>
  </si>
  <si>
    <t xml:space="preserve"> Stockpiled Fescue</t>
  </si>
  <si>
    <t>Acres per Head</t>
  </si>
  <si>
    <t>Lbs per Head</t>
  </si>
  <si>
    <t>Per Head</t>
  </si>
  <si>
    <t>Strategic Antibotic Use</t>
  </si>
  <si>
    <t>Hours per Head</t>
  </si>
  <si>
    <t xml:space="preserve">PUBLICATION 446-047 </t>
  </si>
  <si>
    <t>TOTAL HEALTH COST  =</t>
  </si>
  <si>
    <t>Dairy Heifers Birth to Calving</t>
  </si>
  <si>
    <t xml:space="preserve">  Purchase Price</t>
  </si>
  <si>
    <t>8. FEED RATIONS</t>
  </si>
  <si>
    <t xml:space="preserve"> Milk Replacer</t>
  </si>
  <si>
    <t xml:space="preserve"> Calf Grower</t>
  </si>
  <si>
    <t xml:space="preserve"> Barley Silage</t>
  </si>
  <si>
    <t xml:space="preserve"> Alfalfa Hay</t>
  </si>
  <si>
    <t xml:space="preserve"> Alfalfa Orchardgrass Hay</t>
  </si>
  <si>
    <t xml:space="preserve"> Orchardgrass Hay</t>
  </si>
  <si>
    <t xml:space="preserve"> Springing Heifers </t>
  </si>
  <si>
    <t>Percent Change in Feed Costs</t>
  </si>
  <si>
    <t>Non-Feed</t>
  </si>
  <si>
    <t>Birth to</t>
  </si>
  <si>
    <t>Weaning</t>
  </si>
  <si>
    <t>to Calving</t>
  </si>
  <si>
    <t>to 300 Lbs</t>
  </si>
  <si>
    <t>300 Lbs</t>
  </si>
  <si>
    <t>to 500 Lbs</t>
  </si>
  <si>
    <t>500 Lbs</t>
  </si>
  <si>
    <t>to 800 Lbs</t>
  </si>
  <si>
    <t xml:space="preserve"> Cull Heifers </t>
  </si>
  <si>
    <t>Mortality - 500 Lbs to 800 Lbs.</t>
  </si>
  <si>
    <t>Mortality - 300 Lbs to 500 Lbs.</t>
  </si>
  <si>
    <t>Mortality - Weaning to 300 Lbs.</t>
  </si>
  <si>
    <t>Mortality - Birth to Weaning</t>
  </si>
  <si>
    <t>Mortality - Breeding to Calving</t>
  </si>
  <si>
    <t>Months Birth to Calving</t>
  </si>
  <si>
    <t>Heifers Culled at Preg. Check</t>
  </si>
  <si>
    <t>Preg Check</t>
  </si>
  <si>
    <t>800 Lbs to</t>
  </si>
  <si>
    <t>Days</t>
  </si>
  <si>
    <t>Heifer Calves</t>
  </si>
  <si>
    <t xml:space="preserve"> Haul Culls</t>
  </si>
  <si>
    <t xml:space="preserve"> Market Culls</t>
  </si>
  <si>
    <t xml:space="preserve"> Minerals</t>
  </si>
  <si>
    <t>Per Heifer</t>
  </si>
  <si>
    <t>SUB-TOTAL HEIFERS</t>
  </si>
  <si>
    <t>TOTALS</t>
  </si>
  <si>
    <t>Bangs Vaccination (RB-51)</t>
  </si>
  <si>
    <t>Lepto 5 + Vibrio</t>
  </si>
  <si>
    <t>Estrus Syncronization / AI</t>
  </si>
  <si>
    <t>AI Breeding</t>
  </si>
  <si>
    <t>/Head</t>
  </si>
  <si>
    <t>Pregnancy Check</t>
  </si>
  <si>
    <t>Checks @</t>
  </si>
  <si>
    <t>--- Total Net Variable Costs per Springing Heifer ---</t>
  </si>
  <si>
    <t>Total Hours</t>
  </si>
  <si>
    <t>Ivermectin Inj</t>
  </si>
  <si>
    <t xml:space="preserve"> Bedding</t>
  </si>
  <si>
    <t>Price</t>
  </si>
  <si>
    <t>Cost per Head</t>
  </si>
  <si>
    <t>Vitamin E &amp; Selenium</t>
  </si>
  <si>
    <t>Vitamin A &amp; D</t>
  </si>
  <si>
    <t>E. Coli, Rota and Corona Vaccination</t>
  </si>
  <si>
    <t>Hours per Day per Calf</t>
  </si>
  <si>
    <t>Expenses</t>
  </si>
  <si>
    <t>Building &amp; Fence Repair</t>
  </si>
  <si>
    <t>Other, Insurance</t>
  </si>
  <si>
    <t>Machinery Non-Crop</t>
  </si>
  <si>
    <t>Developed by Virginia Cooperative Extension Farm Business Management Staff</t>
  </si>
  <si>
    <t>Lbs/Head/Day</t>
  </si>
  <si>
    <t>Unit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</si>
</sst>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mm/dd/yy_)"/>
    <numFmt numFmtId="170" formatCode="0_)"/>
    <numFmt numFmtId="171" formatCode="0.00_)"/>
    <numFmt numFmtId="172" formatCode="0.0_)"/>
    <numFmt numFmtId="173" formatCode="dd\-mmm\-yy_)"/>
    <numFmt numFmtId="174" formatCode="0E+00_)"/>
    <numFmt numFmtId="175" formatCode="General_)"/>
    <numFmt numFmtId="176" formatCode="&quot;$&quot;#,##0.00;[Red]&quot;$&quot;#,##0.00"/>
    <numFmt numFmtId="177" formatCode="0_);\(0\)"/>
  </numFmts>
  <fonts count="6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sz val="12"/>
      <color indexed="12"/>
      <name val="Arial"/>
      <family val="2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8"/>
      <color indexed="12"/>
      <name val="Arial"/>
      <family val="0"/>
    </font>
    <font>
      <b/>
      <sz val="12"/>
      <name val="Arial"/>
      <family val="2"/>
    </font>
    <font>
      <sz val="8"/>
      <color indexed="12"/>
      <name val="Arial Narrow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8"/>
      <name val="Tahoma"/>
      <family val="0"/>
    </font>
    <font>
      <sz val="10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8">
    <xf numFmtId="2" fontId="0" fillId="2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horizontal="fill"/>
    </xf>
    <xf numFmtId="2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 locked="0"/>
    </xf>
    <xf numFmtId="2" fontId="0" fillId="33" borderId="0" xfId="0" applyFill="1" applyAlignment="1">
      <alignment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>
      <alignment horizontal="center"/>
    </xf>
    <xf numFmtId="2" fontId="0" fillId="33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horizontal="fill"/>
    </xf>
    <xf numFmtId="2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10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 applyProtection="1">
      <alignment/>
      <protection locked="0"/>
    </xf>
    <xf numFmtId="164" fontId="9" fillId="34" borderId="0" xfId="0" applyNumberFormat="1" applyFont="1" applyFill="1" applyBorder="1" applyAlignment="1" applyProtection="1">
      <alignment horizontal="center"/>
      <protection locked="0"/>
    </xf>
    <xf numFmtId="2" fontId="4" fillId="34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7" fillId="0" borderId="0" xfId="0" applyFont="1" applyAlignment="1">
      <alignment/>
    </xf>
    <xf numFmtId="169" fontId="12" fillId="0" borderId="0" xfId="0" applyNumberFormat="1" applyFont="1" applyAlignment="1" applyProtection="1">
      <alignment/>
      <protection locked="0"/>
    </xf>
    <xf numFmtId="2" fontId="7" fillId="0" borderId="10" xfId="0" applyFont="1" applyBorder="1" applyAlignment="1" applyProtection="1">
      <alignment horizontal="left"/>
      <protection/>
    </xf>
    <xf numFmtId="2" fontId="7" fillId="0" borderId="10" xfId="0" applyFont="1" applyBorder="1" applyAlignment="1">
      <alignment/>
    </xf>
    <xf numFmtId="2" fontId="4" fillId="0" borderId="10" xfId="0" applyFont="1" applyBorder="1" applyAlignment="1">
      <alignment/>
    </xf>
    <xf numFmtId="2" fontId="7" fillId="0" borderId="10" xfId="0" applyFont="1" applyBorder="1" applyAlignment="1" applyProtection="1">
      <alignment horizontal="right"/>
      <protection/>
    </xf>
    <xf numFmtId="2" fontId="7" fillId="0" borderId="10" xfId="0" applyFont="1" applyBorder="1" applyAlignment="1" applyProtection="1">
      <alignment horizontal="center"/>
      <protection/>
    </xf>
    <xf numFmtId="2" fontId="7" fillId="0" borderId="0" xfId="0" applyFont="1" applyAlignment="1" applyProtection="1">
      <alignment horizontal="left"/>
      <protection/>
    </xf>
    <xf numFmtId="2" fontId="4" fillId="0" borderId="0" xfId="0" applyFont="1" applyAlignment="1">
      <alignment/>
    </xf>
    <xf numFmtId="2" fontId="7" fillId="0" borderId="0" xfId="0" applyFont="1" applyAlignment="1">
      <alignment horizontal="center"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 horizontal="left"/>
      <protection/>
    </xf>
    <xf numFmtId="171" fontId="12" fillId="0" borderId="0" xfId="0" applyNumberFormat="1" applyFont="1" applyAlignment="1" applyProtection="1">
      <alignment/>
      <protection locked="0"/>
    </xf>
    <xf numFmtId="2" fontId="7" fillId="0" borderId="0" xfId="0" applyFont="1" applyAlignment="1" applyProtection="1">
      <alignment horizontal="right"/>
      <protection/>
    </xf>
    <xf numFmtId="2" fontId="12" fillId="0" borderId="0" xfId="0" applyFont="1" applyAlignment="1" applyProtection="1">
      <alignment/>
      <protection locked="0"/>
    </xf>
    <xf numFmtId="171" fontId="7" fillId="0" borderId="0" xfId="0" applyNumberFormat="1" applyFont="1" applyAlignment="1" applyProtection="1">
      <alignment/>
      <protection/>
    </xf>
    <xf numFmtId="7" fontId="7" fillId="0" borderId="0" xfId="0" applyNumberFormat="1" applyFont="1" applyAlignment="1" applyProtection="1">
      <alignment/>
      <protection/>
    </xf>
    <xf numFmtId="2" fontId="7" fillId="0" borderId="0" xfId="0" applyFont="1" applyAlignment="1" applyProtection="1">
      <alignment horizontal="center"/>
      <protection/>
    </xf>
    <xf numFmtId="170" fontId="12" fillId="0" borderId="0" xfId="0" applyNumberFormat="1" applyFont="1" applyAlignment="1" applyProtection="1">
      <alignment/>
      <protection locked="0"/>
    </xf>
    <xf numFmtId="2" fontId="7" fillId="0" borderId="0" xfId="0" applyFont="1" applyAlignment="1" applyProtection="1">
      <alignment/>
      <protection/>
    </xf>
    <xf numFmtId="2" fontId="7" fillId="0" borderId="11" xfId="0" applyFont="1" applyBorder="1" applyAlignment="1">
      <alignment/>
    </xf>
    <xf numFmtId="2" fontId="7" fillId="0" borderId="11" xfId="0" applyFont="1" applyBorder="1" applyAlignment="1" applyProtection="1">
      <alignment horizontal="center"/>
      <protection/>
    </xf>
    <xf numFmtId="2" fontId="7" fillId="0" borderId="0" xfId="0" applyFont="1" applyAlignment="1">
      <alignment horizontal="right"/>
    </xf>
    <xf numFmtId="173" fontId="7" fillId="0" borderId="0" xfId="0" applyNumberFormat="1" applyFont="1" applyAlignment="1" applyProtection="1">
      <alignment horizontal="left"/>
      <protection/>
    </xf>
    <xf numFmtId="2" fontId="7" fillId="0" borderId="12" xfId="0" applyFont="1" applyBorder="1" applyAlignment="1" applyProtection="1">
      <alignment horizontal="left"/>
      <protection/>
    </xf>
    <xf numFmtId="2" fontId="7" fillId="0" borderId="12" xfId="0" applyFont="1" applyBorder="1" applyAlignment="1">
      <alignment/>
    </xf>
    <xf numFmtId="170" fontId="12" fillId="0" borderId="12" xfId="0" applyNumberFormat="1" applyFont="1" applyBorder="1" applyAlignment="1" applyProtection="1">
      <alignment/>
      <protection locked="0"/>
    </xf>
    <xf numFmtId="2" fontId="12" fillId="0" borderId="0" xfId="0" applyFont="1" applyBorder="1" applyAlignment="1" applyProtection="1">
      <alignment/>
      <protection locked="0"/>
    </xf>
    <xf numFmtId="2" fontId="7" fillId="0" borderId="0" xfId="0" applyFont="1" applyBorder="1" applyAlignment="1" applyProtection="1">
      <alignment horizontal="left"/>
      <protection/>
    </xf>
    <xf numFmtId="170" fontId="12" fillId="0" borderId="0" xfId="0" applyNumberFormat="1" applyFont="1" applyBorder="1" applyAlignment="1" applyProtection="1">
      <alignment/>
      <protection locked="0"/>
    </xf>
    <xf numFmtId="2" fontId="12" fillId="0" borderId="0" xfId="0" applyFont="1" applyAlignment="1" applyProtection="1">
      <alignment horizontal="left"/>
      <protection locked="0"/>
    </xf>
    <xf numFmtId="2" fontId="7" fillId="0" borderId="11" xfId="0" applyFont="1" applyBorder="1" applyAlignment="1" applyProtection="1">
      <alignment horizontal="fill"/>
      <protection/>
    </xf>
    <xf numFmtId="2" fontId="7" fillId="0" borderId="0" xfId="0" applyFont="1" applyAlignment="1" applyProtection="1">
      <alignment horizontal="fill"/>
      <protection/>
    </xf>
    <xf numFmtId="171" fontId="7" fillId="0" borderId="0" xfId="0" applyNumberFormat="1" applyFont="1" applyAlignment="1" applyProtection="1">
      <alignment horizontal="right"/>
      <protection/>
    </xf>
    <xf numFmtId="2" fontId="7" fillId="0" borderId="12" xfId="0" applyFont="1" applyBorder="1" applyAlignment="1">
      <alignment horizontal="right"/>
    </xf>
    <xf numFmtId="2" fontId="7" fillId="0" borderId="12" xfId="0" applyFont="1" applyBorder="1" applyAlignment="1" applyProtection="1">
      <alignment horizontal="right"/>
      <protection/>
    </xf>
    <xf numFmtId="37" fontId="12" fillId="0" borderId="0" xfId="0" applyNumberFormat="1" applyFont="1" applyAlignment="1" applyProtection="1">
      <alignment/>
      <protection locked="0"/>
    </xf>
    <xf numFmtId="2" fontId="7" fillId="0" borderId="12" xfId="0" applyFont="1" applyBorder="1" applyAlignment="1" applyProtection="1">
      <alignment horizontal="fill"/>
      <protection/>
    </xf>
    <xf numFmtId="2" fontId="4" fillId="0" borderId="11" xfId="0" applyFont="1" applyBorder="1" applyAlignment="1">
      <alignment/>
    </xf>
    <xf numFmtId="170" fontId="7" fillId="0" borderId="11" xfId="0" applyNumberFormat="1" applyFont="1" applyBorder="1" applyAlignment="1" applyProtection="1">
      <alignment/>
      <protection/>
    </xf>
    <xf numFmtId="5" fontId="12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/>
    </xf>
    <xf numFmtId="166" fontId="12" fillId="0" borderId="0" xfId="0" applyNumberFormat="1" applyFont="1" applyAlignment="1" applyProtection="1">
      <alignment horizontal="center"/>
      <protection locked="0"/>
    </xf>
    <xf numFmtId="10" fontId="12" fillId="0" borderId="0" xfId="0" applyNumberFormat="1" applyFont="1" applyAlignment="1" applyProtection="1">
      <alignment horizontal="center"/>
      <protection locked="0"/>
    </xf>
    <xf numFmtId="10" fontId="12" fillId="0" borderId="0" xfId="0" applyNumberFormat="1" applyFont="1" applyAlignment="1" applyProtection="1">
      <alignment horizontal="left"/>
      <protection locked="0"/>
    </xf>
    <xf numFmtId="175" fontId="7" fillId="0" borderId="0" xfId="0" applyNumberFormat="1" applyFont="1" applyAlignment="1" applyProtection="1">
      <alignment/>
      <protection/>
    </xf>
    <xf numFmtId="2" fontId="7" fillId="0" borderId="12" xfId="0" applyFont="1" applyBorder="1" applyAlignment="1" applyProtection="1">
      <alignment/>
      <protection locked="0"/>
    </xf>
    <xf numFmtId="2" fontId="1" fillId="0" borderId="0" xfId="0" applyFont="1" applyAlignment="1" applyProtection="1">
      <alignment horizontal="left"/>
      <protection/>
    </xf>
    <xf numFmtId="2" fontId="1" fillId="0" borderId="0" xfId="0" applyFont="1" applyAlignment="1">
      <alignment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>
      <alignment/>
    </xf>
    <xf numFmtId="2" fontId="14" fillId="0" borderId="0" xfId="0" applyFont="1" applyFill="1" applyAlignment="1">
      <alignment horizontal="center"/>
    </xf>
    <xf numFmtId="2" fontId="0" fillId="0" borderId="13" xfId="0" applyFill="1" applyBorder="1" applyAlignment="1">
      <alignment/>
    </xf>
    <xf numFmtId="2" fontId="0" fillId="0" borderId="14" xfId="0" applyFill="1" applyBorder="1" applyAlignment="1">
      <alignment/>
    </xf>
    <xf numFmtId="2" fontId="13" fillId="0" borderId="13" xfId="0" applyFont="1" applyFill="1" applyBorder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2" fontId="16" fillId="0" borderId="0" xfId="0" applyNumberFormat="1" applyFont="1" applyFill="1" applyAlignment="1" applyProtection="1">
      <alignment horizontal="right"/>
      <protection locked="0"/>
    </xf>
    <xf numFmtId="2" fontId="16" fillId="0" borderId="12" xfId="0" applyNumberFormat="1" applyFont="1" applyFill="1" applyBorder="1" applyAlignment="1" applyProtection="1">
      <alignment horizontal="right"/>
      <protection locked="0"/>
    </xf>
    <xf numFmtId="5" fontId="1" fillId="0" borderId="11" xfId="0" applyNumberFormat="1" applyFont="1" applyBorder="1" applyAlignment="1" applyProtection="1">
      <alignment horizontal="left"/>
      <protection/>
    </xf>
    <xf numFmtId="2" fontId="1" fillId="0" borderId="11" xfId="0" applyFont="1" applyBorder="1" applyAlignment="1">
      <alignment/>
    </xf>
    <xf numFmtId="170" fontId="1" fillId="0" borderId="11" xfId="0" applyNumberFormat="1" applyFont="1" applyBorder="1" applyAlignment="1" applyProtection="1">
      <alignment/>
      <protection/>
    </xf>
    <xf numFmtId="2" fontId="7" fillId="0" borderId="12" xfId="0" applyFont="1" applyBorder="1" applyAlignment="1" applyProtection="1">
      <alignment horizontal="center"/>
      <protection/>
    </xf>
    <xf numFmtId="170" fontId="12" fillId="0" borderId="0" xfId="0" applyNumberFormat="1" applyFont="1" applyAlignment="1" applyProtection="1">
      <alignment horizontal="center"/>
      <protection locked="0"/>
    </xf>
    <xf numFmtId="9" fontId="12" fillId="0" borderId="0" xfId="0" applyNumberFormat="1" applyFont="1" applyAlignment="1" applyProtection="1">
      <alignment horizontal="center"/>
      <protection locked="0"/>
    </xf>
    <xf numFmtId="4" fontId="0" fillId="33" borderId="0" xfId="0" applyNumberFormat="1" applyFont="1" applyFill="1" applyAlignment="1" applyProtection="1">
      <alignment/>
      <protection locked="0"/>
    </xf>
    <xf numFmtId="2" fontId="12" fillId="0" borderId="0" xfId="0" applyFont="1" applyAlignment="1" applyProtection="1">
      <alignment horizontal="right"/>
      <protection locked="0"/>
    </xf>
    <xf numFmtId="2" fontId="7" fillId="0" borderId="0" xfId="0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 applyProtection="1">
      <alignment/>
      <protection locked="0"/>
    </xf>
    <xf numFmtId="9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 applyProtection="1">
      <alignment/>
      <protection locked="0"/>
    </xf>
    <xf numFmtId="9" fontId="7" fillId="0" borderId="11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 applyProtection="1">
      <alignment/>
      <protection/>
    </xf>
    <xf numFmtId="2" fontId="7" fillId="0" borderId="0" xfId="0" applyFont="1" applyBorder="1" applyAlignment="1">
      <alignment horizontal="center" textRotation="90"/>
    </xf>
    <xf numFmtId="7" fontId="7" fillId="0" borderId="0" xfId="0" applyNumberFormat="1" applyFont="1" applyAlignment="1">
      <alignment/>
    </xf>
    <xf numFmtId="7" fontId="1" fillId="0" borderId="11" xfId="0" applyNumberFormat="1" applyFont="1" applyBorder="1" applyAlignment="1" applyProtection="1">
      <alignment vertical="center"/>
      <protection/>
    </xf>
    <xf numFmtId="170" fontId="20" fillId="0" borderId="0" xfId="0" applyNumberFormat="1" applyFont="1" applyAlignment="1" applyProtection="1">
      <alignment/>
      <protection locked="0"/>
    </xf>
    <xf numFmtId="7" fontId="1" fillId="0" borderId="11" xfId="0" applyNumberFormat="1" applyFont="1" applyBorder="1" applyAlignment="1">
      <alignment vertical="center"/>
    </xf>
    <xf numFmtId="2" fontId="1" fillId="0" borderId="11" xfId="0" applyFont="1" applyBorder="1" applyAlignment="1">
      <alignment vertical="center"/>
    </xf>
    <xf numFmtId="2" fontId="1" fillId="0" borderId="0" xfId="0" applyFont="1" applyAlignment="1" applyProtection="1">
      <alignment horizontal="left" vertical="center"/>
      <protection/>
    </xf>
    <xf numFmtId="7" fontId="1" fillId="0" borderId="15" xfId="0" applyNumberFormat="1" applyFont="1" applyBorder="1" applyAlignment="1" applyProtection="1">
      <alignment vertical="center"/>
      <protection/>
    </xf>
    <xf numFmtId="7" fontId="1" fillId="0" borderId="11" xfId="0" applyNumberFormat="1" applyFont="1" applyBorder="1" applyAlignment="1" applyProtection="1">
      <alignment/>
      <protection/>
    </xf>
    <xf numFmtId="7" fontId="1" fillId="0" borderId="0" xfId="0" applyNumberFormat="1" applyFont="1" applyAlignment="1">
      <alignment/>
    </xf>
    <xf numFmtId="7" fontId="1" fillId="0" borderId="0" xfId="0" applyNumberFormat="1" applyFont="1" applyAlignment="1" applyProtection="1">
      <alignment/>
      <protection/>
    </xf>
    <xf numFmtId="2" fontId="12" fillId="0" borderId="0" xfId="0" applyFont="1" applyAlignment="1" applyProtection="1">
      <alignment horizontal="left"/>
      <protection/>
    </xf>
    <xf numFmtId="1" fontId="22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 horizontal="left"/>
    </xf>
    <xf numFmtId="39" fontId="12" fillId="0" borderId="0" xfId="0" applyNumberFormat="1" applyFont="1" applyAlignment="1" applyProtection="1">
      <alignment/>
      <protection locked="0"/>
    </xf>
    <xf numFmtId="7" fontId="12" fillId="0" borderId="0" xfId="0" applyNumberFormat="1" applyFont="1" applyAlignment="1" applyProtection="1">
      <alignment/>
      <protection locked="0"/>
    </xf>
    <xf numFmtId="8" fontId="7" fillId="0" borderId="0" xfId="0" applyNumberFormat="1" applyFont="1" applyBorder="1" applyAlignment="1">
      <alignment horizontal="center"/>
    </xf>
    <xf numFmtId="2" fontId="7" fillId="0" borderId="10" xfId="0" applyFont="1" applyBorder="1" applyAlignment="1">
      <alignment horizontal="right"/>
    </xf>
    <xf numFmtId="168" fontId="12" fillId="0" borderId="0" xfId="0" applyNumberFormat="1" applyFont="1" applyAlignment="1">
      <alignment/>
    </xf>
    <xf numFmtId="177" fontId="12" fillId="0" borderId="0" xfId="0" applyNumberFormat="1" applyFont="1" applyAlignment="1" applyProtection="1">
      <alignment horizontal="right"/>
      <protection/>
    </xf>
    <xf numFmtId="10" fontId="12" fillId="0" borderId="0" xfId="0" applyNumberFormat="1" applyFont="1" applyAlignment="1" applyProtection="1">
      <alignment/>
      <protection locked="0"/>
    </xf>
    <xf numFmtId="2" fontId="19" fillId="2" borderId="0" xfId="0" applyNumberFormat="1" applyFont="1" applyFill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9" fontId="12" fillId="0" borderId="0" xfId="0" applyNumberFormat="1" applyFont="1" applyBorder="1" applyAlignment="1" applyProtection="1">
      <alignment horizontal="center"/>
      <protection/>
    </xf>
    <xf numFmtId="2" fontId="23" fillId="0" borderId="0" xfId="0" applyFont="1" applyAlignment="1" applyProtection="1">
      <alignment horizontal="left"/>
      <protection/>
    </xf>
    <xf numFmtId="177" fontId="7" fillId="0" borderId="0" xfId="0" applyNumberFormat="1" applyFont="1" applyAlignment="1" applyProtection="1" quotePrefix="1">
      <alignment/>
      <protection/>
    </xf>
    <xf numFmtId="7" fontId="7" fillId="0" borderId="0" xfId="0" applyNumberFormat="1" applyFont="1" applyAlignment="1" applyProtection="1" quotePrefix="1">
      <alignment/>
      <protection/>
    </xf>
    <xf numFmtId="7" fontId="12" fillId="0" borderId="0" xfId="0" applyNumberFormat="1" applyFont="1" applyAlignment="1" applyProtection="1">
      <alignment horizontal="right"/>
      <protection/>
    </xf>
    <xf numFmtId="7" fontId="12" fillId="0" borderId="12" xfId="0" applyNumberFormat="1" applyFont="1" applyBorder="1" applyAlignment="1" applyProtection="1">
      <alignment/>
      <protection locked="0"/>
    </xf>
    <xf numFmtId="2" fontId="23" fillId="0" borderId="10" xfId="0" applyFont="1" applyBorder="1" applyAlignment="1">
      <alignment/>
    </xf>
    <xf numFmtId="2" fontId="23" fillId="0" borderId="10" xfId="0" applyFont="1" applyBorder="1" applyAlignment="1" applyProtection="1">
      <alignment horizontal="right" vertical="center"/>
      <protection/>
    </xf>
    <xf numFmtId="2" fontId="7" fillId="0" borderId="0" xfId="0" applyFont="1" applyAlignment="1">
      <alignment horizontal="fill"/>
    </xf>
    <xf numFmtId="7" fontId="7" fillId="0" borderId="0" xfId="0" applyNumberFormat="1" applyFont="1" applyAlignment="1">
      <alignment horizontal="fill"/>
    </xf>
    <xf numFmtId="2" fontId="1" fillId="0" borderId="0" xfId="0" applyFont="1" applyAlignment="1">
      <alignment horizontal="fill" vertical="center"/>
    </xf>
    <xf numFmtId="7" fontId="1" fillId="0" borderId="0" xfId="0" applyNumberFormat="1" applyFont="1" applyAlignment="1">
      <alignment horizontal="fill" vertical="center"/>
    </xf>
    <xf numFmtId="2" fontId="0" fillId="0" borderId="0" xfId="0" applyNumberFormat="1" applyFont="1" applyFill="1" applyAlignment="1" applyProtection="1">
      <alignment horizontal="fill"/>
      <protection locked="0"/>
    </xf>
    <xf numFmtId="168" fontId="12" fillId="0" borderId="16" xfId="0" applyNumberFormat="1" applyFont="1" applyBorder="1" applyAlignment="1">
      <alignment/>
    </xf>
    <xf numFmtId="2" fontId="12" fillId="0" borderId="16" xfId="0" applyFont="1" applyBorder="1" applyAlignment="1">
      <alignment/>
    </xf>
    <xf numFmtId="2" fontId="7" fillId="0" borderId="0" xfId="0" applyFont="1" applyAlignment="1" applyProtection="1">
      <alignment horizontal="left"/>
      <protection/>
    </xf>
    <xf numFmtId="2" fontId="7" fillId="0" borderId="0" xfId="0" applyFont="1" applyAlignment="1" applyProtection="1" quotePrefix="1">
      <alignment horizontal="left"/>
      <protection/>
    </xf>
    <xf numFmtId="168" fontId="7" fillId="0" borderId="0" xfId="0" applyNumberFormat="1" applyFont="1" applyAlignment="1" applyProtection="1">
      <alignment/>
      <protection/>
    </xf>
    <xf numFmtId="177" fontId="7" fillId="0" borderId="0" xfId="0" applyNumberFormat="1" applyFont="1" applyAlignment="1">
      <alignment/>
    </xf>
    <xf numFmtId="168" fontId="12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applyProtection="1">
      <alignment horizontal="right"/>
      <protection/>
    </xf>
    <xf numFmtId="9" fontId="24" fillId="0" borderId="0" xfId="0" applyNumberFormat="1" applyFont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9" fontId="22" fillId="0" borderId="0" xfId="0" applyNumberFormat="1" applyFont="1" applyAlignment="1" applyProtection="1">
      <alignment/>
      <protection locked="0"/>
    </xf>
    <xf numFmtId="39" fontId="7" fillId="0" borderId="12" xfId="0" applyNumberFormat="1" applyFont="1" applyBorder="1" applyAlignment="1">
      <alignment/>
    </xf>
    <xf numFmtId="2" fontId="0" fillId="2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Alignment="1">
      <alignment horizontal="center"/>
    </xf>
    <xf numFmtId="9" fontId="25" fillId="0" borderId="0" xfId="0" applyNumberFormat="1" applyFont="1" applyAlignment="1" applyProtection="1">
      <alignment/>
      <protection locked="0"/>
    </xf>
    <xf numFmtId="2" fontId="26" fillId="0" borderId="0" xfId="0" applyFont="1" applyAlignment="1" applyProtection="1">
      <alignment horizontal="left"/>
      <protection/>
    </xf>
    <xf numFmtId="177" fontId="25" fillId="0" borderId="0" xfId="0" applyNumberFormat="1" applyFont="1" applyAlignment="1" applyProtection="1">
      <alignment/>
      <protection locked="0"/>
    </xf>
    <xf numFmtId="1" fontId="0" fillId="33" borderId="0" xfId="0" applyNumberFormat="1" applyFont="1" applyFill="1" applyAlignment="1" applyProtection="1">
      <alignment/>
      <protection locked="0"/>
    </xf>
    <xf numFmtId="2" fontId="7" fillId="0" borderId="0" xfId="0" applyFont="1" applyAlignment="1">
      <alignment horizontal="center" wrapText="1"/>
    </xf>
    <xf numFmtId="7" fontId="7" fillId="0" borderId="0" xfId="0" applyNumberFormat="1" applyFont="1" applyAlignment="1">
      <alignment horizontal="right"/>
    </xf>
    <xf numFmtId="177" fontId="7" fillId="0" borderId="12" xfId="0" applyNumberFormat="1" applyFont="1" applyBorder="1" applyAlignment="1" applyProtection="1">
      <alignment horizontal="right"/>
      <protection/>
    </xf>
    <xf numFmtId="2" fontId="7" fillId="0" borderId="0" xfId="0" applyFont="1" applyBorder="1" applyAlignment="1" applyProtection="1">
      <alignment/>
      <protection locked="0"/>
    </xf>
    <xf numFmtId="2" fontId="7" fillId="0" borderId="0" xfId="0" applyFont="1" applyBorder="1" applyAlignment="1" applyProtection="1">
      <alignment horizontal="right"/>
      <protection/>
    </xf>
    <xf numFmtId="2" fontId="0" fillId="2" borderId="0" xfId="0" applyNumberFormat="1" applyFont="1" applyFill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/>
    </xf>
    <xf numFmtId="2" fontId="16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Alignment="1" applyProtection="1">
      <alignment/>
      <protection locked="0"/>
    </xf>
    <xf numFmtId="2" fontId="8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/>
    </xf>
    <xf numFmtId="2" fontId="28" fillId="0" borderId="0" xfId="0" applyFont="1" applyAlignment="1" applyProtection="1">
      <alignment horizontal="left"/>
      <protection/>
    </xf>
    <xf numFmtId="2" fontId="21" fillId="0" borderId="0" xfId="0" applyFont="1" applyAlignment="1">
      <alignment horizontal="right"/>
    </xf>
    <xf numFmtId="9" fontId="18" fillId="0" borderId="17" xfId="0" applyNumberFormat="1" applyFont="1" applyBorder="1" applyAlignment="1" quotePrefix="1">
      <alignment horizontal="center"/>
    </xf>
    <xf numFmtId="9" fontId="18" fillId="0" borderId="17" xfId="0" applyNumberFormat="1" applyFont="1" applyBorder="1" applyAlignment="1">
      <alignment horizontal="center"/>
    </xf>
    <xf numFmtId="2" fontId="12" fillId="0" borderId="0" xfId="0" applyFont="1" applyAlignment="1" applyProtection="1">
      <alignment horizontal="left"/>
      <protection locked="0"/>
    </xf>
    <xf numFmtId="2" fontId="0" fillId="2" borderId="0" xfId="0" applyNumberFormat="1" applyFont="1" applyFill="1" applyAlignment="1" applyProtection="1">
      <alignment horizontal="left"/>
      <protection locked="0"/>
    </xf>
    <xf numFmtId="2" fontId="0" fillId="2" borderId="0" xfId="0" applyNumberFormat="1" applyFont="1" applyFill="1" applyAlignment="1" applyProtection="1">
      <alignment/>
      <protection locked="0"/>
    </xf>
    <xf numFmtId="2" fontId="7" fillId="0" borderId="0" xfId="0" applyFont="1" applyAlignment="1" applyProtection="1">
      <alignment horizontal="right"/>
      <protection/>
    </xf>
    <xf numFmtId="2" fontId="0" fillId="2" borderId="0" xfId="0" applyNumberFormat="1" applyFont="1" applyFill="1" applyAlignment="1" applyProtection="1">
      <alignment horizontal="right"/>
      <protection locked="0"/>
    </xf>
    <xf numFmtId="2" fontId="23" fillId="0" borderId="10" xfId="0" applyFont="1" applyBorder="1" applyAlignment="1" applyProtection="1">
      <alignment vertical="center"/>
      <protection/>
    </xf>
    <xf numFmtId="2" fontId="19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Alignment="1" applyProtection="1">
      <alignment/>
      <protection locked="0"/>
    </xf>
    <xf numFmtId="2" fontId="7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fill"/>
    </xf>
    <xf numFmtId="2" fontId="0" fillId="2" borderId="0" xfId="0" applyNumberFormat="1" applyFont="1" applyFill="1" applyAlignment="1" applyProtection="1">
      <alignment/>
      <protection locked="0"/>
    </xf>
    <xf numFmtId="2" fontId="7" fillId="0" borderId="12" xfId="0" applyFont="1" applyBorder="1" applyAlignment="1" applyProtection="1">
      <alignment horizontal="right"/>
      <protection/>
    </xf>
    <xf numFmtId="2" fontId="0" fillId="2" borderId="12" xfId="0" applyNumberFormat="1" applyFont="1" applyFill="1" applyBorder="1" applyAlignment="1" applyProtection="1">
      <alignment horizontal="right"/>
      <protection locked="0"/>
    </xf>
    <xf numFmtId="2" fontId="14" fillId="0" borderId="0" xfId="0" applyFont="1" applyFill="1" applyAlignment="1">
      <alignment horizontal="center"/>
    </xf>
    <xf numFmtId="170" fontId="7" fillId="0" borderId="0" xfId="0" applyNumberFormat="1" applyFont="1" applyAlignment="1" applyProtection="1">
      <alignment horizontal="center"/>
      <protection/>
    </xf>
    <xf numFmtId="2" fontId="0" fillId="2" borderId="0" xfId="0" applyNumberFormat="1" applyFont="1" applyFill="1" applyAlignment="1" applyProtection="1">
      <alignment horizontal="center"/>
      <protection locked="0"/>
    </xf>
    <xf numFmtId="164" fontId="11" fillId="0" borderId="0" xfId="0" applyNumberFormat="1" applyFont="1" applyFill="1" applyAlignment="1" applyProtection="1">
      <alignment horizontal="center"/>
      <protection locked="0"/>
    </xf>
    <xf numFmtId="2" fontId="7" fillId="0" borderId="0" xfId="0" applyFont="1" applyAlignment="1">
      <alignment/>
    </xf>
    <xf numFmtId="2" fontId="17" fillId="0" borderId="0" xfId="0" applyFont="1" applyAlignment="1">
      <alignment/>
    </xf>
    <xf numFmtId="2" fontId="1" fillId="0" borderId="11" xfId="0" applyFont="1" applyBorder="1" applyAlignment="1" applyProtection="1">
      <alignment horizontal="left" vertical="center"/>
      <protection/>
    </xf>
    <xf numFmtId="2" fontId="19" fillId="2" borderId="11" xfId="0" applyNumberFormat="1" applyFont="1" applyFill="1" applyBorder="1" applyAlignment="1" applyProtection="1">
      <alignment vertical="center"/>
      <protection locked="0"/>
    </xf>
    <xf numFmtId="2" fontId="7" fillId="0" borderId="0" xfId="0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47625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219"/>
  <sheetViews>
    <sheetView tabSelected="1" zoomScaleSheetLayoutView="75" zoomScalePageLayoutView="0" workbookViewId="0" topLeftCell="A1">
      <selection activeCell="F14" sqref="F14"/>
    </sheetView>
  </sheetViews>
  <sheetFormatPr defaultColWidth="9.6640625" defaultRowHeight="15"/>
  <cols>
    <col min="1" max="1" width="17.77734375" style="1" customWidth="1"/>
    <col min="2" max="2" width="8.5546875" style="1" customWidth="1"/>
    <col min="3" max="3" width="2.77734375" style="1" customWidth="1"/>
    <col min="4" max="4" width="8.77734375" style="1" customWidth="1"/>
    <col min="5" max="5" width="8.6640625" style="1" customWidth="1"/>
    <col min="6" max="6" width="8.6640625" style="12" customWidth="1"/>
    <col min="7" max="7" width="8.77734375" style="1" customWidth="1"/>
    <col min="8" max="8" width="9.77734375" style="1" customWidth="1"/>
    <col min="9" max="10" width="12.77734375" style="1" customWidth="1"/>
    <col min="11" max="11" width="5.21484375" style="1" customWidth="1"/>
    <col min="12" max="14" width="9.6640625" style="1" customWidth="1"/>
    <col min="15" max="15" width="7.6640625" style="1" customWidth="1"/>
    <col min="16" max="16" width="9.6640625" style="1" customWidth="1"/>
    <col min="17" max="17" width="10.6640625" style="1" customWidth="1"/>
    <col min="18" max="16384" width="9.6640625" style="1" customWidth="1"/>
  </cols>
  <sheetData>
    <row r="1" ht="75.75" customHeight="1">
      <c r="K1" s="10"/>
    </row>
    <row r="2" spans="1:21" ht="19.5" customHeight="1">
      <c r="A2" s="19">
        <v>2008</v>
      </c>
      <c r="B2" s="20"/>
      <c r="C2" s="20"/>
      <c r="D2" s="20"/>
      <c r="E2" s="20"/>
      <c r="F2" s="21"/>
      <c r="G2" s="20"/>
      <c r="H2" s="22"/>
      <c r="I2" s="22"/>
      <c r="J2" s="22" t="s">
        <v>87</v>
      </c>
      <c r="K2" s="10"/>
      <c r="U2" s="2" t="s">
        <v>0</v>
      </c>
    </row>
    <row r="3" spans="1:21" ht="27" customHeight="1">
      <c r="A3" s="192" t="s">
        <v>89</v>
      </c>
      <c r="B3" s="186"/>
      <c r="C3" s="186"/>
      <c r="D3" s="186"/>
      <c r="E3" s="186"/>
      <c r="F3" s="186"/>
      <c r="G3" s="186"/>
      <c r="H3" s="186"/>
      <c r="I3" s="186"/>
      <c r="J3" s="186"/>
      <c r="K3" s="10"/>
      <c r="U3" s="2"/>
    </row>
    <row r="4" spans="1:21" ht="27" customHeight="1">
      <c r="A4" s="23"/>
      <c r="B4" s="24"/>
      <c r="C4" s="24"/>
      <c r="E4" s="110">
        <v>100</v>
      </c>
      <c r="F4" s="77" t="s">
        <v>120</v>
      </c>
      <c r="G4" s="12"/>
      <c r="I4" s="25"/>
      <c r="J4" s="25"/>
      <c r="K4" s="10"/>
      <c r="U4" s="2"/>
    </row>
    <row r="5" spans="5:21" ht="19.5" customHeight="1">
      <c r="E5" s="29"/>
      <c r="F5" s="29"/>
      <c r="G5" s="157">
        <v>0.1</v>
      </c>
      <c r="H5" s="158" t="s">
        <v>113</v>
      </c>
      <c r="I5" s="29"/>
      <c r="J5" s="29"/>
      <c r="K5" s="10"/>
      <c r="M5" s="2"/>
      <c r="U5" s="2"/>
    </row>
    <row r="6" spans="1:21" ht="19.5" customHeight="1">
      <c r="A6" s="159">
        <v>26</v>
      </c>
      <c r="B6" s="29" t="s">
        <v>115</v>
      </c>
      <c r="C6" s="29"/>
      <c r="D6" s="29"/>
      <c r="E6" s="29"/>
      <c r="F6" s="29"/>
      <c r="G6" s="157">
        <v>0.02</v>
      </c>
      <c r="H6" s="158" t="s">
        <v>112</v>
      </c>
      <c r="I6" s="29"/>
      <c r="J6" s="29"/>
      <c r="K6" s="10"/>
      <c r="M6" s="2"/>
      <c r="U6" s="2"/>
    </row>
    <row r="7" spans="1:21" ht="19.5" customHeight="1">
      <c r="A7" s="157"/>
      <c r="B7" s="29"/>
      <c r="C7" s="29"/>
      <c r="D7" s="29"/>
      <c r="E7" s="29"/>
      <c r="F7" s="29"/>
      <c r="G7" s="157">
        <v>0.05</v>
      </c>
      <c r="H7" s="158" t="s">
        <v>111</v>
      </c>
      <c r="I7" s="29"/>
      <c r="J7" s="29"/>
      <c r="K7" s="10"/>
      <c r="M7" s="2"/>
      <c r="U7" s="2"/>
    </row>
    <row r="8" spans="1:21" ht="19.5" customHeight="1">
      <c r="A8" s="157"/>
      <c r="B8" s="29"/>
      <c r="C8" s="29"/>
      <c r="D8" s="29"/>
      <c r="E8" s="29"/>
      <c r="F8" s="29"/>
      <c r="G8" s="157">
        <v>0.02</v>
      </c>
      <c r="H8" s="158" t="s">
        <v>110</v>
      </c>
      <c r="I8" s="29"/>
      <c r="J8" s="29"/>
      <c r="K8" s="10"/>
      <c r="M8" s="2"/>
      <c r="U8" s="2"/>
    </row>
    <row r="9" spans="1:21" ht="19.5" customHeight="1">
      <c r="A9" s="157">
        <v>0.05</v>
      </c>
      <c r="B9" s="29" t="s">
        <v>116</v>
      </c>
      <c r="C9" s="29"/>
      <c r="D9" s="29"/>
      <c r="E9" s="29"/>
      <c r="F9" s="29"/>
      <c r="G9" s="157">
        <v>0.01</v>
      </c>
      <c r="H9" s="158" t="s">
        <v>114</v>
      </c>
      <c r="I9" s="87"/>
      <c r="J9" s="29"/>
      <c r="K9" s="10"/>
      <c r="M9" s="2"/>
      <c r="U9" s="2"/>
    </row>
    <row r="10" spans="1:11" ht="9.75" customHeight="1">
      <c r="A10" s="29"/>
      <c r="B10" s="29"/>
      <c r="C10" s="29"/>
      <c r="D10" s="29"/>
      <c r="E10" s="29"/>
      <c r="F10" s="29"/>
      <c r="G10" s="29"/>
      <c r="H10" s="29"/>
      <c r="I10" s="30"/>
      <c r="J10" s="29"/>
      <c r="K10" s="10"/>
    </row>
    <row r="11" spans="1:21" ht="15">
      <c r="A11" s="31" t="s">
        <v>5</v>
      </c>
      <c r="B11" s="124"/>
      <c r="C11" s="33"/>
      <c r="D11" s="124"/>
      <c r="E11" s="35" t="s">
        <v>2</v>
      </c>
      <c r="F11" s="34" t="s">
        <v>4</v>
      </c>
      <c r="G11" s="32"/>
      <c r="H11" s="34" t="s">
        <v>3</v>
      </c>
      <c r="I11" s="34" t="s">
        <v>1</v>
      </c>
      <c r="J11" s="35" t="s">
        <v>73</v>
      </c>
      <c r="K11" s="10"/>
      <c r="M11" s="2" t="s">
        <v>0</v>
      </c>
      <c r="U11" s="2" t="s">
        <v>0</v>
      </c>
    </row>
    <row r="12" spans="1:11" ht="18" customHeight="1">
      <c r="A12" s="77" t="s">
        <v>67</v>
      </c>
      <c r="B12" s="29"/>
      <c r="C12" s="37"/>
      <c r="D12" s="29"/>
      <c r="E12" s="38"/>
      <c r="F12" s="29"/>
      <c r="G12" s="29"/>
      <c r="H12" s="29"/>
      <c r="I12" s="29"/>
      <c r="J12" s="38"/>
      <c r="K12" s="10"/>
    </row>
    <row r="13" spans="1:11" ht="15">
      <c r="A13" s="36" t="s">
        <v>98</v>
      </c>
      <c r="B13" s="132"/>
      <c r="C13" s="40"/>
      <c r="D13" s="41"/>
      <c r="E13" s="46" t="s">
        <v>34</v>
      </c>
      <c r="F13" s="122">
        <v>1700</v>
      </c>
      <c r="G13" s="29"/>
      <c r="H13" s="147">
        <f>I67</f>
        <v>77.40591069881249</v>
      </c>
      <c r="I13" s="45">
        <f>F13*H13</f>
        <v>131590.04818798124</v>
      </c>
      <c r="J13" s="46" t="s">
        <v>40</v>
      </c>
      <c r="K13" s="10"/>
    </row>
    <row r="14" spans="1:11" ht="15">
      <c r="A14" s="36" t="s">
        <v>109</v>
      </c>
      <c r="B14" s="132"/>
      <c r="C14" s="40"/>
      <c r="D14" s="41"/>
      <c r="E14" s="46" t="s">
        <v>34</v>
      </c>
      <c r="F14" s="122">
        <v>750</v>
      </c>
      <c r="G14" s="29"/>
      <c r="H14" s="132">
        <f>H67*A9</f>
        <v>4.095550830625</v>
      </c>
      <c r="I14" s="45">
        <f>F14*H14</f>
        <v>3071.66312296875</v>
      </c>
      <c r="J14" s="46" t="s">
        <v>40</v>
      </c>
      <c r="K14" s="10"/>
    </row>
    <row r="15" spans="1:26" ht="18" customHeight="1">
      <c r="A15" s="78" t="s">
        <v>70</v>
      </c>
      <c r="B15" s="39"/>
      <c r="C15" s="40"/>
      <c r="D15" s="41"/>
      <c r="E15" s="46"/>
      <c r="F15" s="43"/>
      <c r="G15" s="116">
        <f>I15/(H13+H14)</f>
        <v>1652.2613065326634</v>
      </c>
      <c r="H15" s="78" t="s">
        <v>84</v>
      </c>
      <c r="I15" s="117">
        <f>SUM(I13:I14)</f>
        <v>134661.71131095</v>
      </c>
      <c r="J15" s="46" t="s">
        <v>40</v>
      </c>
      <c r="K15" s="10"/>
      <c r="L15" s="5"/>
      <c r="M15" s="2"/>
      <c r="N15" s="5"/>
      <c r="U15" s="2"/>
      <c r="Z15" s="4"/>
    </row>
    <row r="16" spans="1:26" ht="21" customHeight="1">
      <c r="A16" s="77" t="s">
        <v>68</v>
      </c>
      <c r="B16" s="29"/>
      <c r="C16" s="29"/>
      <c r="D16" s="29"/>
      <c r="E16" s="38"/>
      <c r="F16" s="29"/>
      <c r="G16" s="29"/>
      <c r="H16" s="29"/>
      <c r="I16" s="29"/>
      <c r="J16" s="38"/>
      <c r="K16" s="10"/>
      <c r="L16" s="5" t="s">
        <v>0</v>
      </c>
      <c r="M16" s="2" t="s">
        <v>0</v>
      </c>
      <c r="N16" s="5" t="s">
        <v>0</v>
      </c>
      <c r="U16" s="2" t="s">
        <v>0</v>
      </c>
      <c r="Z16" s="4" t="s">
        <v>0</v>
      </c>
    </row>
    <row r="17" spans="1:26" ht="18" customHeight="1">
      <c r="A17" s="145" t="s">
        <v>90</v>
      </c>
      <c r="B17" s="148"/>
      <c r="C17" s="40"/>
      <c r="D17" s="29"/>
      <c r="E17" s="46" t="s">
        <v>34</v>
      </c>
      <c r="F17" s="122">
        <v>0</v>
      </c>
      <c r="G17" s="29"/>
      <c r="H17" s="29">
        <f>E4</f>
        <v>100</v>
      </c>
      <c r="I17" s="45">
        <f>F17*H17</f>
        <v>0</v>
      </c>
      <c r="J17" s="46" t="s">
        <v>40</v>
      </c>
      <c r="K17" s="10"/>
      <c r="L17" s="5"/>
      <c r="M17" s="2"/>
      <c r="N17" s="5"/>
      <c r="U17" s="2"/>
      <c r="Z17" s="4"/>
    </row>
    <row r="18" spans="1:26" ht="18" customHeight="1">
      <c r="A18" s="146" t="s">
        <v>80</v>
      </c>
      <c r="B18" s="29"/>
      <c r="C18" s="29"/>
      <c r="D18" s="29"/>
      <c r="E18" s="46" t="s">
        <v>34</v>
      </c>
      <c r="F18" s="122">
        <v>0</v>
      </c>
      <c r="G18" s="29"/>
      <c r="H18" s="29">
        <f>E4</f>
        <v>100</v>
      </c>
      <c r="I18" s="45">
        <f>F18*H18</f>
        <v>0</v>
      </c>
      <c r="J18" s="46" t="s">
        <v>40</v>
      </c>
      <c r="K18" s="10"/>
      <c r="L18" s="5"/>
      <c r="M18" s="2"/>
      <c r="N18" s="5"/>
      <c r="U18" s="2"/>
      <c r="Z18" s="4"/>
    </row>
    <row r="19" spans="1:26" ht="15">
      <c r="A19" s="29"/>
      <c r="B19" s="46" t="s">
        <v>79</v>
      </c>
      <c r="C19" s="29"/>
      <c r="E19" s="38"/>
      <c r="F19" s="29"/>
      <c r="G19" s="29"/>
      <c r="H19" s="29"/>
      <c r="I19" s="29"/>
      <c r="J19" s="38"/>
      <c r="K19" s="10"/>
      <c r="M19" s="2"/>
      <c r="U19" s="2" t="s">
        <v>0</v>
      </c>
      <c r="Z19" s="4" t="s">
        <v>0</v>
      </c>
    </row>
    <row r="20" spans="1:21" ht="15">
      <c r="A20" s="48" t="str">
        <f aca="true" t="shared" si="0" ref="A20:A29">A70</f>
        <v> Milk Replacer</v>
      </c>
      <c r="B20" s="72">
        <v>0.02</v>
      </c>
      <c r="C20" s="29"/>
      <c r="E20" s="46" t="str">
        <f>IF(C70&gt;99,"Cwt",IF(C70&gt;0,"Bushel","Ton"))</f>
        <v>Cwt</v>
      </c>
      <c r="F20" s="122">
        <v>95</v>
      </c>
      <c r="G20" s="29"/>
      <c r="H20" s="44">
        <f>IF(C70&lt;=0,(J70*(1+B20)),(J70*2000)/C70*(1+B20))</f>
        <v>54.264</v>
      </c>
      <c r="I20" s="45">
        <f aca="true" t="shared" si="1" ref="I20:I36">F20*H20</f>
        <v>5155.08</v>
      </c>
      <c r="J20" s="46" t="s">
        <v>40</v>
      </c>
      <c r="K20" s="10"/>
      <c r="U20" s="2" t="s">
        <v>0</v>
      </c>
    </row>
    <row r="21" spans="1:21" ht="15">
      <c r="A21" s="48" t="str">
        <f t="shared" si="0"/>
        <v> Calf Grower</v>
      </c>
      <c r="B21" s="72">
        <v>0.02</v>
      </c>
      <c r="C21" s="29"/>
      <c r="E21" s="46" t="str">
        <f aca="true" t="shared" si="2" ref="E21:E29">IF(C71&gt;99,"Cwt",IF(C71&gt;0,"Bushel","Ton"))</f>
        <v>Cwt</v>
      </c>
      <c r="F21" s="122">
        <v>24</v>
      </c>
      <c r="G21" s="29"/>
      <c r="H21" s="44">
        <f aca="true" t="shared" si="3" ref="H21:H29">IF(C71=0,(J71*(1+B21)),(J71*2000)/C71*(1+B21))</f>
        <v>0</v>
      </c>
      <c r="I21" s="45">
        <f t="shared" si="1"/>
        <v>0</v>
      </c>
      <c r="J21" s="46" t="s">
        <v>40</v>
      </c>
      <c r="K21" s="10"/>
      <c r="U21" s="2"/>
    </row>
    <row r="22" spans="1:21" ht="15">
      <c r="A22" s="48" t="str">
        <f t="shared" si="0"/>
        <v> Corn Silage</v>
      </c>
      <c r="B22" s="72">
        <v>0.1</v>
      </c>
      <c r="C22" s="29"/>
      <c r="E22" s="46" t="str">
        <f t="shared" si="2"/>
        <v>Ton</v>
      </c>
      <c r="F22" s="122">
        <v>45</v>
      </c>
      <c r="G22" s="29"/>
      <c r="H22" s="44">
        <f t="shared" si="3"/>
        <v>826.8170453777045</v>
      </c>
      <c r="I22" s="45">
        <f t="shared" si="1"/>
        <v>37206.7670419967</v>
      </c>
      <c r="J22" s="46" t="s">
        <v>40</v>
      </c>
      <c r="K22" s="10"/>
      <c r="U22" s="2" t="s">
        <v>0</v>
      </c>
    </row>
    <row r="23" spans="1:21" ht="15">
      <c r="A23" s="48" t="str">
        <f t="shared" si="0"/>
        <v> Barley Silage</v>
      </c>
      <c r="B23" s="72">
        <v>0.1</v>
      </c>
      <c r="C23" s="29"/>
      <c r="E23" s="46" t="str">
        <f t="shared" si="2"/>
        <v>Ton</v>
      </c>
      <c r="F23" s="122">
        <v>30</v>
      </c>
      <c r="G23" s="29"/>
      <c r="H23" s="44">
        <f t="shared" si="3"/>
        <v>0</v>
      </c>
      <c r="I23" s="45">
        <f t="shared" si="1"/>
        <v>0</v>
      </c>
      <c r="J23" s="46" t="s">
        <v>40</v>
      </c>
      <c r="K23" s="10"/>
      <c r="M23" s="2" t="s">
        <v>0</v>
      </c>
      <c r="U23" s="2" t="s">
        <v>0</v>
      </c>
    </row>
    <row r="24" spans="1:21" ht="15">
      <c r="A24" s="48" t="str">
        <f t="shared" si="0"/>
        <v> Alfalfa Hay</v>
      </c>
      <c r="B24" s="72">
        <v>0.05</v>
      </c>
      <c r="C24" s="29"/>
      <c r="E24" s="46" t="str">
        <f t="shared" si="2"/>
        <v>Ton</v>
      </c>
      <c r="F24" s="122">
        <v>180</v>
      </c>
      <c r="G24" s="29"/>
      <c r="H24" s="44">
        <f t="shared" si="3"/>
        <v>0</v>
      </c>
      <c r="I24" s="45">
        <f>F24*H24</f>
        <v>0</v>
      </c>
      <c r="J24" s="46" t="s">
        <v>40</v>
      </c>
      <c r="K24" s="10"/>
      <c r="M24" s="2" t="s">
        <v>0</v>
      </c>
      <c r="U24" s="2" t="s">
        <v>0</v>
      </c>
    </row>
    <row r="25" spans="1:21" ht="15">
      <c r="A25" s="48" t="str">
        <f t="shared" si="0"/>
        <v> Alfalfa Orchardgrass Hay</v>
      </c>
      <c r="B25" s="72">
        <v>0.05</v>
      </c>
      <c r="C25" s="29"/>
      <c r="E25" s="46" t="str">
        <f t="shared" si="2"/>
        <v>Ton</v>
      </c>
      <c r="F25" s="122">
        <v>175</v>
      </c>
      <c r="G25" s="29"/>
      <c r="H25" s="44">
        <f t="shared" si="3"/>
        <v>35.989510724999995</v>
      </c>
      <c r="I25" s="45">
        <f>F25*H25</f>
        <v>6298.164376874999</v>
      </c>
      <c r="J25" s="46" t="s">
        <v>40</v>
      </c>
      <c r="K25" s="10"/>
      <c r="M25" s="2" t="s">
        <v>0</v>
      </c>
      <c r="U25" s="2" t="s">
        <v>0</v>
      </c>
    </row>
    <row r="26" spans="1:21" ht="15">
      <c r="A26" s="48" t="str">
        <f t="shared" si="0"/>
        <v> Orchardgrass Hay</v>
      </c>
      <c r="B26" s="72">
        <v>0.05</v>
      </c>
      <c r="C26" s="29"/>
      <c r="E26" s="46" t="str">
        <f t="shared" si="2"/>
        <v>Ton</v>
      </c>
      <c r="F26" s="122">
        <v>140</v>
      </c>
      <c r="G26" s="29"/>
      <c r="H26" s="44">
        <f t="shared" si="3"/>
        <v>141.92395828568777</v>
      </c>
      <c r="I26" s="45">
        <f>F26*H26</f>
        <v>19869.35415999629</v>
      </c>
      <c r="J26" s="46" t="s">
        <v>40</v>
      </c>
      <c r="K26" s="10"/>
      <c r="M26" s="2" t="s">
        <v>0</v>
      </c>
      <c r="U26" s="2" t="s">
        <v>0</v>
      </c>
    </row>
    <row r="27" spans="1:26" ht="15">
      <c r="A27" s="48" t="str">
        <f t="shared" si="0"/>
        <v> Corn Grain</v>
      </c>
      <c r="B27" s="72">
        <v>0.02</v>
      </c>
      <c r="C27" s="29"/>
      <c r="E27" s="46" t="str">
        <f t="shared" si="2"/>
        <v>Bushel</v>
      </c>
      <c r="F27" s="122">
        <v>5.5</v>
      </c>
      <c r="G27" s="29"/>
      <c r="H27" s="44">
        <f t="shared" si="3"/>
        <v>490.4005178571428</v>
      </c>
      <c r="I27" s="45">
        <f t="shared" si="1"/>
        <v>2697.2028482142855</v>
      </c>
      <c r="J27" s="46" t="s">
        <v>40</v>
      </c>
      <c r="K27" s="10"/>
      <c r="M27" s="2" t="s">
        <v>0</v>
      </c>
      <c r="U27" s="2" t="s">
        <v>0</v>
      </c>
      <c r="Z27" s="4" t="s">
        <v>0</v>
      </c>
    </row>
    <row r="28" spans="1:26" ht="15">
      <c r="A28" s="48" t="str">
        <f t="shared" si="0"/>
        <v> SBOM 48%</v>
      </c>
      <c r="B28" s="72">
        <v>0.02</v>
      </c>
      <c r="C28" s="29"/>
      <c r="E28" s="46" t="str">
        <f t="shared" si="2"/>
        <v>Ton</v>
      </c>
      <c r="F28" s="122">
        <v>395</v>
      </c>
      <c r="G28" s="29"/>
      <c r="H28" s="44">
        <f t="shared" si="3"/>
        <v>62.336058063929364</v>
      </c>
      <c r="I28" s="45">
        <f t="shared" si="1"/>
        <v>24622.7429352521</v>
      </c>
      <c r="J28" s="46" t="s">
        <v>40</v>
      </c>
      <c r="K28" s="10"/>
      <c r="L28" s="5" t="s">
        <v>0</v>
      </c>
      <c r="M28" s="2" t="s">
        <v>0</v>
      </c>
      <c r="N28" s="5" t="s">
        <v>0</v>
      </c>
      <c r="U28" s="2" t="s">
        <v>0</v>
      </c>
      <c r="Z28" s="4" t="s">
        <v>0</v>
      </c>
    </row>
    <row r="29" spans="1:26" ht="15">
      <c r="A29" s="48" t="str">
        <f t="shared" si="0"/>
        <v> Other Feed</v>
      </c>
      <c r="B29" s="72">
        <v>0.05</v>
      </c>
      <c r="C29" s="29"/>
      <c r="E29" s="46" t="str">
        <f t="shared" si="2"/>
        <v>Ton</v>
      </c>
      <c r="F29" s="122">
        <v>0</v>
      </c>
      <c r="G29" s="29"/>
      <c r="H29" s="44">
        <f t="shared" si="3"/>
        <v>0</v>
      </c>
      <c r="I29" s="45">
        <f t="shared" si="1"/>
        <v>0</v>
      </c>
      <c r="J29" s="46" t="s">
        <v>40</v>
      </c>
      <c r="K29" s="10"/>
      <c r="L29" s="5" t="s">
        <v>0</v>
      </c>
      <c r="M29" s="2" t="s">
        <v>0</v>
      </c>
      <c r="N29" s="5" t="s">
        <v>0</v>
      </c>
      <c r="U29" s="2" t="s">
        <v>0</v>
      </c>
      <c r="Z29" s="4" t="s">
        <v>0</v>
      </c>
    </row>
    <row r="30" spans="1:26" ht="15">
      <c r="A30" s="36" t="s">
        <v>25</v>
      </c>
      <c r="B30" s="29"/>
      <c r="C30" s="29"/>
      <c r="D30" s="29"/>
      <c r="E30" s="46" t="s">
        <v>33</v>
      </c>
      <c r="F30" s="122">
        <v>1.4</v>
      </c>
      <c r="G30" s="29"/>
      <c r="H30" s="41">
        <f>SUM(J77:J79)*20</f>
        <v>1491.5151483123404</v>
      </c>
      <c r="I30" s="45">
        <f t="shared" si="1"/>
        <v>2088.1212076372767</v>
      </c>
      <c r="J30" s="46" t="s">
        <v>40</v>
      </c>
      <c r="K30" s="10"/>
      <c r="L30" s="5"/>
      <c r="M30" s="2"/>
      <c r="N30" s="5"/>
      <c r="U30" s="2"/>
      <c r="Z30" s="4"/>
    </row>
    <row r="31" spans="1:21" ht="15">
      <c r="A31" s="36" t="s">
        <v>123</v>
      </c>
      <c r="B31" s="125">
        <v>68</v>
      </c>
      <c r="C31" s="29" t="s">
        <v>83</v>
      </c>
      <c r="D31" s="29"/>
      <c r="E31" s="46" t="s">
        <v>33</v>
      </c>
      <c r="F31" s="122">
        <v>26</v>
      </c>
      <c r="H31" s="44">
        <f>B31/100*E4</f>
        <v>68</v>
      </c>
      <c r="I31" s="45">
        <f t="shared" si="1"/>
        <v>1768</v>
      </c>
      <c r="J31" s="46" t="s">
        <v>40</v>
      </c>
      <c r="K31" s="10"/>
      <c r="L31" s="5" t="s">
        <v>0</v>
      </c>
      <c r="M31" s="2" t="s">
        <v>0</v>
      </c>
      <c r="N31" s="5" t="s">
        <v>0</v>
      </c>
      <c r="U31" s="2" t="s">
        <v>0</v>
      </c>
    </row>
    <row r="32" spans="1:21" ht="15">
      <c r="A32" s="36" t="s">
        <v>57</v>
      </c>
      <c r="B32" s="143"/>
      <c r="C32" s="29" t="s">
        <v>65</v>
      </c>
      <c r="D32" s="29"/>
      <c r="E32" s="46" t="s">
        <v>34</v>
      </c>
      <c r="F32" s="45">
        <f>J115/H67</f>
        <v>92.9721094297571</v>
      </c>
      <c r="G32" s="29"/>
      <c r="H32" s="75">
        <f>ROUND($I$67,0)</f>
        <v>77</v>
      </c>
      <c r="I32" s="45">
        <f>IF(B32=N(ISNUMBER(B32)),ROUND((F32*H32),2),ROUND((B32*H32),2))</f>
        <v>7158.85</v>
      </c>
      <c r="J32" s="46" t="s">
        <v>40</v>
      </c>
      <c r="K32" s="10"/>
      <c r="L32" s="5" t="s">
        <v>0</v>
      </c>
      <c r="M32" s="2" t="s">
        <v>0</v>
      </c>
      <c r="N32" s="5" t="s">
        <v>0</v>
      </c>
      <c r="U32" s="2" t="s">
        <v>0</v>
      </c>
    </row>
    <row r="33" spans="1:21" ht="15">
      <c r="A33" s="36" t="s">
        <v>26</v>
      </c>
      <c r="B33" s="29"/>
      <c r="C33" s="29"/>
      <c r="D33" s="29"/>
      <c r="E33" s="46" t="s">
        <v>34</v>
      </c>
      <c r="F33" s="122">
        <v>5</v>
      </c>
      <c r="G33" s="29"/>
      <c r="H33" s="75">
        <f>ROUND($H$67,0)</f>
        <v>82</v>
      </c>
      <c r="I33" s="45">
        <f t="shared" si="1"/>
        <v>410</v>
      </c>
      <c r="J33" s="46" t="s">
        <v>40</v>
      </c>
      <c r="K33" s="10"/>
      <c r="L33" s="5"/>
      <c r="M33" s="2"/>
      <c r="N33" s="5"/>
      <c r="U33" s="2"/>
    </row>
    <row r="34" spans="1:21" ht="15">
      <c r="A34" s="36" t="s">
        <v>137</v>
      </c>
      <c r="B34" s="29"/>
      <c r="C34" s="29"/>
      <c r="D34" s="29"/>
      <c r="E34" s="46" t="s">
        <v>34</v>
      </c>
      <c r="F34" s="122">
        <v>9</v>
      </c>
      <c r="G34" s="29"/>
      <c r="H34" s="75">
        <f>ROUND($H$67,0)</f>
        <v>82</v>
      </c>
      <c r="I34" s="45">
        <f>F34*H34</f>
        <v>738</v>
      </c>
      <c r="J34" s="46" t="s">
        <v>40</v>
      </c>
      <c r="K34" s="10"/>
      <c r="L34" s="5"/>
      <c r="M34" s="2"/>
      <c r="N34" s="5"/>
      <c r="U34" s="2"/>
    </row>
    <row r="35" spans="1:21" ht="15">
      <c r="A35" s="36" t="s">
        <v>81</v>
      </c>
      <c r="B35" s="143">
        <v>0</v>
      </c>
      <c r="C35" s="193" t="s">
        <v>82</v>
      </c>
      <c r="D35" s="193"/>
      <c r="E35" s="46" t="s">
        <v>35</v>
      </c>
      <c r="F35" s="122">
        <v>51</v>
      </c>
      <c r="G35" s="29"/>
      <c r="H35" s="75">
        <f>ROUND(B35*$H$67,2)</f>
        <v>0</v>
      </c>
      <c r="I35" s="45">
        <f t="shared" si="1"/>
        <v>0</v>
      </c>
      <c r="J35" s="46" t="s">
        <v>40</v>
      </c>
      <c r="K35" s="10"/>
      <c r="L35" s="5"/>
      <c r="M35" s="2"/>
      <c r="N35" s="5"/>
      <c r="U35" s="2"/>
    </row>
    <row r="36" spans="1:21" ht="15">
      <c r="A36" s="36" t="s">
        <v>27</v>
      </c>
      <c r="B36" s="143">
        <v>0.75</v>
      </c>
      <c r="C36" s="193" t="s">
        <v>82</v>
      </c>
      <c r="D36" s="193"/>
      <c r="E36" s="46" t="s">
        <v>35</v>
      </c>
      <c r="F36" s="122">
        <v>21</v>
      </c>
      <c r="G36" s="29"/>
      <c r="H36" s="75">
        <f>ROUND(B36*$H$67,2)</f>
        <v>61.43</v>
      </c>
      <c r="I36" s="45">
        <f t="shared" si="1"/>
        <v>1290.03</v>
      </c>
      <c r="J36" s="46" t="s">
        <v>40</v>
      </c>
      <c r="K36" s="10"/>
      <c r="L36" s="5"/>
      <c r="M36" s="2"/>
      <c r="N36" s="5"/>
      <c r="U36" s="2"/>
    </row>
    <row r="37" spans="1:21" ht="15">
      <c r="A37" s="36" t="s">
        <v>121</v>
      </c>
      <c r="B37" s="29"/>
      <c r="C37" s="29"/>
      <c r="D37" s="29"/>
      <c r="E37" s="46" t="s">
        <v>34</v>
      </c>
      <c r="F37" s="122">
        <v>3.75</v>
      </c>
      <c r="G37" s="29"/>
      <c r="H37" s="75">
        <f>ROUND(H14,0)</f>
        <v>4</v>
      </c>
      <c r="I37" s="45">
        <f>F37*H37</f>
        <v>15</v>
      </c>
      <c r="J37" s="46" t="s">
        <v>40</v>
      </c>
      <c r="K37" s="10"/>
      <c r="L37" s="5"/>
      <c r="M37" s="2"/>
      <c r="N37" s="5"/>
      <c r="U37" s="2"/>
    </row>
    <row r="38" spans="1:21" ht="15">
      <c r="A38" s="36" t="s">
        <v>122</v>
      </c>
      <c r="B38" s="144"/>
      <c r="C38" s="29" t="s">
        <v>65</v>
      </c>
      <c r="D38" s="29"/>
      <c r="E38" s="46" t="s">
        <v>34</v>
      </c>
      <c r="F38" s="133">
        <f>((I13*0.02)+(H13*3.5))/H13</f>
        <v>37.50000000000001</v>
      </c>
      <c r="G38" s="29"/>
      <c r="H38" s="75">
        <f>ROUND(H14,0)</f>
        <v>4</v>
      </c>
      <c r="I38" s="45">
        <f>IF(B38=N(ISNUMBER(B38)),ROUND((F38*H38),2),ROUND((B38*H38),2))</f>
        <v>150</v>
      </c>
      <c r="J38" s="46" t="s">
        <v>40</v>
      </c>
      <c r="K38" s="10"/>
      <c r="L38" s="5"/>
      <c r="M38" s="2"/>
      <c r="N38" s="5"/>
      <c r="U38" s="2"/>
    </row>
    <row r="39" spans="1:21" ht="15">
      <c r="A39" s="36" t="s">
        <v>28</v>
      </c>
      <c r="B39" s="29"/>
      <c r="C39" s="29"/>
      <c r="D39" s="29"/>
      <c r="E39" s="46" t="s">
        <v>34</v>
      </c>
      <c r="F39" s="134">
        <v>6</v>
      </c>
      <c r="H39" s="75">
        <f>ROUND($H$67,0)</f>
        <v>82</v>
      </c>
      <c r="I39" s="45">
        <f>F39*H39</f>
        <v>492</v>
      </c>
      <c r="J39" s="46" t="s">
        <v>40</v>
      </c>
      <c r="K39" s="10"/>
      <c r="L39" s="5"/>
      <c r="M39" s="2"/>
      <c r="N39" s="5"/>
      <c r="U39" s="2"/>
    </row>
    <row r="40" spans="1:21" ht="15">
      <c r="A40" s="36" t="s">
        <v>29</v>
      </c>
      <c r="B40" s="29"/>
      <c r="C40" s="29"/>
      <c r="D40" s="29"/>
      <c r="E40" s="46" t="s">
        <v>34</v>
      </c>
      <c r="F40" s="134">
        <v>7.5</v>
      </c>
      <c r="H40" s="75">
        <f>ROUND($H$67,0)</f>
        <v>82</v>
      </c>
      <c r="I40" s="45">
        <f>F40*H40</f>
        <v>615</v>
      </c>
      <c r="J40" s="46" t="s">
        <v>40</v>
      </c>
      <c r="K40" s="10"/>
      <c r="L40" s="5"/>
      <c r="M40" s="2"/>
      <c r="N40" s="5"/>
      <c r="U40" s="2"/>
    </row>
    <row r="41" spans="1:21" ht="15">
      <c r="A41" s="36" t="s">
        <v>30</v>
      </c>
      <c r="B41" s="29"/>
      <c r="C41" s="29"/>
      <c r="D41" s="29"/>
      <c r="E41" s="46" t="s">
        <v>34</v>
      </c>
      <c r="F41" s="134">
        <v>2</v>
      </c>
      <c r="H41" s="75">
        <f>ROUND($H$67,0)</f>
        <v>82</v>
      </c>
      <c r="I41" s="45">
        <f>F41*H41</f>
        <v>164</v>
      </c>
      <c r="J41" s="46" t="s">
        <v>40</v>
      </c>
      <c r="K41" s="10"/>
      <c r="L41" s="5"/>
      <c r="M41" s="2"/>
      <c r="N41" s="5"/>
      <c r="U41" s="2"/>
    </row>
    <row r="42" spans="1:11" ht="15">
      <c r="A42" s="36" t="s">
        <v>32</v>
      </c>
      <c r="B42" s="29"/>
      <c r="C42" s="29"/>
      <c r="D42" s="29"/>
      <c r="E42" s="46" t="s">
        <v>34</v>
      </c>
      <c r="F42" s="122">
        <v>14.91</v>
      </c>
      <c r="H42" s="75">
        <f>ROUND($H$67,0)</f>
        <v>82</v>
      </c>
      <c r="I42" s="45">
        <f>F42*H42</f>
        <v>1222.6200000000001</v>
      </c>
      <c r="J42" s="46" t="s">
        <v>40</v>
      </c>
      <c r="K42" s="10"/>
    </row>
    <row r="43" spans="1:21" ht="15">
      <c r="A43" s="36" t="s">
        <v>31</v>
      </c>
      <c r="B43" s="149">
        <v>38.87</v>
      </c>
      <c r="C43" s="29" t="s">
        <v>86</v>
      </c>
      <c r="E43" s="46" t="s">
        <v>36</v>
      </c>
      <c r="F43" s="122">
        <v>0</v>
      </c>
      <c r="H43" s="75">
        <f>E4*B43</f>
        <v>3886.9999999999995</v>
      </c>
      <c r="I43" s="45">
        <f>F43*H43</f>
        <v>0</v>
      </c>
      <c r="J43" s="46" t="s">
        <v>40</v>
      </c>
      <c r="K43" s="10"/>
      <c r="L43" s="5"/>
      <c r="M43" s="2"/>
      <c r="N43" s="5"/>
      <c r="U43" s="2"/>
    </row>
    <row r="44" spans="1:21" ht="15">
      <c r="A44" s="36" t="s">
        <v>62</v>
      </c>
      <c r="B44" s="126">
        <v>12</v>
      </c>
      <c r="C44" s="29" t="s">
        <v>63</v>
      </c>
      <c r="D44" s="74"/>
      <c r="E44" s="46" t="s">
        <v>64</v>
      </c>
      <c r="F44" s="127">
        <v>0.08</v>
      </c>
      <c r="H44" s="45">
        <f>ROUND(SUM(I17:I43)-SUM(I37:I38),0)</f>
        <v>111796</v>
      </c>
      <c r="I44" s="45">
        <f>B44/12*F44*H44</f>
        <v>8943.68</v>
      </c>
      <c r="J44" s="46" t="s">
        <v>40</v>
      </c>
      <c r="K44" s="10"/>
      <c r="L44" s="5"/>
      <c r="M44" s="2"/>
      <c r="N44" s="5"/>
      <c r="U44" s="2"/>
    </row>
    <row r="45" spans="1:21" ht="24" customHeight="1">
      <c r="A45" s="77" t="s">
        <v>72</v>
      </c>
      <c r="B45" s="29"/>
      <c r="C45" s="29"/>
      <c r="D45" s="29"/>
      <c r="E45" s="29"/>
      <c r="G45" s="116">
        <f>I45/H13</f>
        <v>1561.9558180823326</v>
      </c>
      <c r="H45" s="78" t="s">
        <v>124</v>
      </c>
      <c r="I45" s="117">
        <f>SUM(I17:I44)</f>
        <v>120904.61256997165</v>
      </c>
      <c r="J45" s="46" t="s">
        <v>40</v>
      </c>
      <c r="K45" s="10"/>
      <c r="M45" s="2" t="s">
        <v>0</v>
      </c>
      <c r="U45" s="2" t="s">
        <v>0</v>
      </c>
    </row>
    <row r="46" spans="1:21" ht="24" customHeight="1">
      <c r="A46" s="77" t="s">
        <v>66</v>
      </c>
      <c r="B46" s="29"/>
      <c r="C46" s="29"/>
      <c r="D46" s="29"/>
      <c r="E46" s="29"/>
      <c r="F46" s="29"/>
      <c r="G46" s="29"/>
      <c r="H46" s="29"/>
      <c r="I46" s="117">
        <f>J88</f>
        <v>0</v>
      </c>
      <c r="J46" s="46" t="s">
        <v>40</v>
      </c>
      <c r="K46" s="10"/>
      <c r="M46" s="2"/>
      <c r="U46" s="2"/>
    </row>
    <row r="47" spans="1:21" ht="31.5" customHeight="1" thickBot="1">
      <c r="A47" s="195" t="s">
        <v>71</v>
      </c>
      <c r="B47" s="196"/>
      <c r="C47" s="196"/>
      <c r="D47" s="196"/>
      <c r="E47" s="196"/>
      <c r="F47" s="196"/>
      <c r="G47" s="111">
        <f>I47/$H13</f>
        <v>177.72672160020713</v>
      </c>
      <c r="H47" s="112" t="s">
        <v>84</v>
      </c>
      <c r="I47" s="109">
        <f>I15-I45-I46</f>
        <v>13757.098740978341</v>
      </c>
      <c r="J47" s="50" t="s">
        <v>40</v>
      </c>
      <c r="K47" s="10"/>
      <c r="M47" s="2" t="s">
        <v>0</v>
      </c>
      <c r="U47" s="2" t="s">
        <v>0</v>
      </c>
    </row>
    <row r="48" spans="1:26" ht="21" customHeight="1" thickTop="1">
      <c r="A48" s="194" t="s">
        <v>75</v>
      </c>
      <c r="B48" s="194"/>
      <c r="C48" s="29"/>
      <c r="D48" s="197" t="s">
        <v>99</v>
      </c>
      <c r="E48" s="197"/>
      <c r="F48" s="197"/>
      <c r="G48" s="197"/>
      <c r="H48" s="197"/>
      <c r="I48" s="186"/>
      <c r="J48" s="186"/>
      <c r="K48" s="10"/>
      <c r="M48" s="2" t="s">
        <v>0</v>
      </c>
      <c r="O48" s="7" t="s">
        <v>0</v>
      </c>
      <c r="U48" s="2" t="s">
        <v>0</v>
      </c>
      <c r="Z48" s="8" t="s">
        <v>0</v>
      </c>
    </row>
    <row r="49" spans="1:26" ht="15">
      <c r="A49" s="100"/>
      <c r="B49" s="100"/>
      <c r="C49" s="107"/>
      <c r="D49" s="99">
        <f>$G$49-($B$58*5)</f>
        <v>-0.25</v>
      </c>
      <c r="E49" s="99">
        <f>$G$49-($B$58*2)</f>
        <v>-0.1</v>
      </c>
      <c r="F49" s="99">
        <f>$G$49-($B$58)</f>
        <v>-0.05</v>
      </c>
      <c r="G49" s="99">
        <v>0</v>
      </c>
      <c r="H49" s="99">
        <f>$G$49+($B$58)</f>
        <v>0.05</v>
      </c>
      <c r="I49" s="99">
        <f>$G$49+($B$58*2)</f>
        <v>0.1</v>
      </c>
      <c r="J49" s="99">
        <f>$G$49+($B$58*5)</f>
        <v>0.25</v>
      </c>
      <c r="K49" s="10"/>
      <c r="M49" s="2" t="s">
        <v>0</v>
      </c>
      <c r="O49" s="7" t="s">
        <v>0</v>
      </c>
      <c r="U49" s="2" t="s">
        <v>0</v>
      </c>
      <c r="Z49" s="8" t="s">
        <v>0</v>
      </c>
    </row>
    <row r="50" spans="1:26" ht="15">
      <c r="A50" s="100"/>
      <c r="B50" s="100"/>
      <c r="C50" s="107"/>
      <c r="D50" s="174" t="s">
        <v>134</v>
      </c>
      <c r="E50" s="175"/>
      <c r="F50" s="175"/>
      <c r="G50" s="175"/>
      <c r="H50" s="175"/>
      <c r="I50" s="175"/>
      <c r="J50" s="175"/>
      <c r="K50" s="10"/>
      <c r="M50" s="2"/>
      <c r="O50" s="7"/>
      <c r="U50" s="2"/>
      <c r="Z50" s="8"/>
    </row>
    <row r="51" spans="2:26" ht="18" customHeight="1">
      <c r="B51" s="101">
        <f>$B$53-($B$58*2)</f>
        <v>-0.1</v>
      </c>
      <c r="C51" s="29"/>
      <c r="D51" s="123">
        <f aca="true" t="shared" si="4" ref="D51:J56">(((SUM($I$15:$I$31)*(1+D$49))+(SUM($I$32:$I$44)*(1+$B51)))+SUM($I$17:$I$18)-$I$14)/$H$13</f>
        <v>2477.6267736704594</v>
      </c>
      <c r="E51" s="123">
        <f t="shared" si="4"/>
        <v>2931.7919823058455</v>
      </c>
      <c r="F51" s="123">
        <f t="shared" si="4"/>
        <v>3083.1803851843074</v>
      </c>
      <c r="G51" s="123">
        <f t="shared" si="4"/>
        <v>3234.5687880627697</v>
      </c>
      <c r="H51" s="123">
        <f t="shared" si="4"/>
        <v>3385.9571909412316</v>
      </c>
      <c r="I51" s="123">
        <f t="shared" si="4"/>
        <v>3537.345593819694</v>
      </c>
      <c r="J51" s="123">
        <f t="shared" si="4"/>
        <v>3991.510802455079</v>
      </c>
      <c r="K51" s="10"/>
      <c r="M51" s="2" t="s">
        <v>0</v>
      </c>
      <c r="O51" s="7" t="s">
        <v>0</v>
      </c>
      <c r="U51" s="2" t="s">
        <v>0</v>
      </c>
      <c r="Z51" s="8" t="s">
        <v>0</v>
      </c>
    </row>
    <row r="52" spans="1:26" ht="15">
      <c r="A52" s="98" t="s">
        <v>50</v>
      </c>
      <c r="B52" s="101">
        <f>$B$53-$B$58</f>
        <v>-0.05</v>
      </c>
      <c r="C52" s="29"/>
      <c r="D52" s="123">
        <f t="shared" si="4"/>
        <v>2491.3202886802405</v>
      </c>
      <c r="E52" s="123">
        <f t="shared" si="4"/>
        <v>2945.4854973156266</v>
      </c>
      <c r="F52" s="123">
        <f t="shared" si="4"/>
        <v>3096.873900194089</v>
      </c>
      <c r="G52" s="123">
        <f t="shared" si="4"/>
        <v>3248.262303072551</v>
      </c>
      <c r="H52" s="123">
        <f t="shared" si="4"/>
        <v>3399.6507059510127</v>
      </c>
      <c r="I52" s="123">
        <f t="shared" si="4"/>
        <v>3551.0391088294755</v>
      </c>
      <c r="J52" s="123">
        <f t="shared" si="4"/>
        <v>4005.204317464861</v>
      </c>
      <c r="K52" s="10"/>
      <c r="M52" s="2" t="s">
        <v>0</v>
      </c>
      <c r="O52" s="7" t="s">
        <v>0</v>
      </c>
      <c r="U52" s="2" t="s">
        <v>0</v>
      </c>
      <c r="Z52" s="8" t="s">
        <v>0</v>
      </c>
    </row>
    <row r="53" spans="1:26" ht="15">
      <c r="A53" s="98" t="s">
        <v>58</v>
      </c>
      <c r="B53" s="101">
        <v>0</v>
      </c>
      <c r="C53" s="29"/>
      <c r="D53" s="123">
        <f t="shared" si="4"/>
        <v>2505.013803690022</v>
      </c>
      <c r="E53" s="123">
        <f t="shared" si="4"/>
        <v>2959.179012325408</v>
      </c>
      <c r="F53" s="123">
        <f t="shared" si="4"/>
        <v>3110.5674152038705</v>
      </c>
      <c r="G53" s="123">
        <f t="shared" si="4"/>
        <v>3261.9558180823324</v>
      </c>
      <c r="H53" s="123">
        <f t="shared" si="4"/>
        <v>3413.3442209607947</v>
      </c>
      <c r="I53" s="123">
        <f t="shared" si="4"/>
        <v>3564.732623839257</v>
      </c>
      <c r="J53" s="123">
        <f t="shared" si="4"/>
        <v>4018.897832474642</v>
      </c>
      <c r="K53" s="10"/>
      <c r="M53" s="2" t="s">
        <v>0</v>
      </c>
      <c r="O53" s="7" t="s">
        <v>0</v>
      </c>
      <c r="U53" s="2" t="s">
        <v>0</v>
      </c>
      <c r="Z53" s="8" t="s">
        <v>0</v>
      </c>
    </row>
    <row r="54" spans="1:26" ht="15">
      <c r="A54" s="98" t="s">
        <v>100</v>
      </c>
      <c r="B54" s="101">
        <f>$B$53+$B$58</f>
        <v>0.05</v>
      </c>
      <c r="C54" s="29"/>
      <c r="D54" s="123">
        <f t="shared" si="4"/>
        <v>2518.7073186998036</v>
      </c>
      <c r="E54" s="123">
        <f t="shared" si="4"/>
        <v>2972.8725273351897</v>
      </c>
      <c r="F54" s="123">
        <f t="shared" si="4"/>
        <v>3124.260930213652</v>
      </c>
      <c r="G54" s="123">
        <f t="shared" si="4"/>
        <v>3275.649333092114</v>
      </c>
      <c r="H54" s="123">
        <f t="shared" si="4"/>
        <v>3427.0377359705763</v>
      </c>
      <c r="I54" s="123">
        <f t="shared" si="4"/>
        <v>3578.426138849039</v>
      </c>
      <c r="J54" s="123">
        <f t="shared" si="4"/>
        <v>4032.591347484424</v>
      </c>
      <c r="K54" s="10"/>
      <c r="M54" s="2" t="s">
        <v>0</v>
      </c>
      <c r="O54" s="7" t="s">
        <v>0</v>
      </c>
      <c r="U54" s="2" t="s">
        <v>0</v>
      </c>
      <c r="Z54" s="8" t="s">
        <v>0</v>
      </c>
    </row>
    <row r="55" spans="1:21" ht="15">
      <c r="A55" s="98" t="s">
        <v>69</v>
      </c>
      <c r="B55" s="101">
        <f>$B$53+($B$58*2)</f>
        <v>0.1</v>
      </c>
      <c r="C55" s="29"/>
      <c r="D55" s="123">
        <f t="shared" si="4"/>
        <v>2532.400833709585</v>
      </c>
      <c r="E55" s="123">
        <f t="shared" si="4"/>
        <v>2986.5660423449713</v>
      </c>
      <c r="F55" s="123">
        <f t="shared" si="4"/>
        <v>3137.9544452234336</v>
      </c>
      <c r="G55" s="123">
        <f t="shared" si="4"/>
        <v>3289.3428481018955</v>
      </c>
      <c r="H55" s="123">
        <f t="shared" si="4"/>
        <v>3440.731250980358</v>
      </c>
      <c r="I55" s="123">
        <f t="shared" si="4"/>
        <v>3592.11965385882</v>
      </c>
      <c r="J55" s="123">
        <f t="shared" si="4"/>
        <v>4046.2848624942058</v>
      </c>
      <c r="K55" s="10"/>
      <c r="M55" s="2" t="s">
        <v>0</v>
      </c>
      <c r="U55" s="2" t="s">
        <v>0</v>
      </c>
    </row>
    <row r="56" spans="1:26" ht="15">
      <c r="A56" s="100"/>
      <c r="B56" s="101">
        <f>$B$53+($B$58*5)</f>
        <v>0.25</v>
      </c>
      <c r="C56" s="29"/>
      <c r="D56" s="123">
        <f t="shared" si="4"/>
        <v>2573.48137873893</v>
      </c>
      <c r="E56" s="123">
        <f t="shared" si="4"/>
        <v>3027.6465873743164</v>
      </c>
      <c r="F56" s="123">
        <f t="shared" si="4"/>
        <v>3179.0349902527782</v>
      </c>
      <c r="G56" s="123">
        <f t="shared" si="4"/>
        <v>3330.4233931312406</v>
      </c>
      <c r="H56" s="123">
        <f t="shared" si="4"/>
        <v>3481.8117960097024</v>
      </c>
      <c r="I56" s="123">
        <f t="shared" si="4"/>
        <v>3633.2001988881643</v>
      </c>
      <c r="J56" s="123">
        <f t="shared" si="4"/>
        <v>4087.36540752355</v>
      </c>
      <c r="K56" s="10"/>
      <c r="M56" s="2" t="s">
        <v>0</v>
      </c>
      <c r="U56" s="2" t="s">
        <v>0</v>
      </c>
      <c r="Z56" s="8" t="s">
        <v>0</v>
      </c>
    </row>
    <row r="57" spans="1:26" ht="1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0"/>
      <c r="M57" s="2"/>
      <c r="U57" s="2"/>
      <c r="Z57" s="8"/>
    </row>
    <row r="58" spans="1:26" ht="15" customHeight="1">
      <c r="A58" s="100"/>
      <c r="B58" s="130">
        <v>0.05</v>
      </c>
      <c r="C58" s="120" t="s">
        <v>60</v>
      </c>
      <c r="E58" s="102"/>
      <c r="F58" s="102"/>
      <c r="G58" s="102"/>
      <c r="H58" s="102"/>
      <c r="I58" s="102"/>
      <c r="J58" s="102"/>
      <c r="K58" s="10"/>
      <c r="M58" s="2"/>
      <c r="U58" s="2"/>
      <c r="Z58" s="8"/>
    </row>
    <row r="59" spans="1:26" ht="15" customHeight="1" thickBot="1">
      <c r="A59" s="103"/>
      <c r="B59" s="104"/>
      <c r="C59" s="106"/>
      <c r="D59" s="105"/>
      <c r="E59" s="105"/>
      <c r="F59" s="105"/>
      <c r="G59" s="105"/>
      <c r="H59" s="105"/>
      <c r="I59" s="105"/>
      <c r="J59" s="105"/>
      <c r="K59" s="10"/>
      <c r="M59" s="2"/>
      <c r="U59" s="2"/>
      <c r="Z59" s="8"/>
    </row>
    <row r="60" spans="1:21" ht="16.5" customHeight="1" thickTop="1">
      <c r="A60" s="36"/>
      <c r="B60" s="29"/>
      <c r="C60" s="37"/>
      <c r="D60" s="29"/>
      <c r="E60" s="44"/>
      <c r="F60" s="46" t="s">
        <v>148</v>
      </c>
      <c r="G60" s="29"/>
      <c r="H60" s="44"/>
      <c r="I60" s="29"/>
      <c r="J60" s="36"/>
      <c r="K60" s="10"/>
      <c r="L60" s="5" t="s">
        <v>0</v>
      </c>
      <c r="M60" s="2" t="s">
        <v>0</v>
      </c>
      <c r="N60" s="5" t="s">
        <v>0</v>
      </c>
      <c r="U60" s="2" t="s">
        <v>0</v>
      </c>
    </row>
    <row r="61" spans="1:21" ht="16.5" customHeight="1">
      <c r="A61" s="36"/>
      <c r="B61" s="29"/>
      <c r="C61" s="37"/>
      <c r="D61" s="29"/>
      <c r="E61" s="44"/>
      <c r="F61" s="46"/>
      <c r="G61" s="29"/>
      <c r="H61" s="44"/>
      <c r="I61" s="29"/>
      <c r="J61" s="36"/>
      <c r="K61" s="10"/>
      <c r="L61" s="5"/>
      <c r="M61" s="2"/>
      <c r="N61" s="5"/>
      <c r="U61" s="2"/>
    </row>
    <row r="62" spans="1:26" ht="18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10"/>
      <c r="L62" s="5" t="s">
        <v>0</v>
      </c>
      <c r="M62" s="2" t="s">
        <v>0</v>
      </c>
      <c r="N62" s="5" t="s">
        <v>0</v>
      </c>
      <c r="U62" s="2" t="s">
        <v>0</v>
      </c>
      <c r="Z62" s="8" t="s">
        <v>0</v>
      </c>
    </row>
    <row r="63" spans="1:21" ht="21" customHeight="1">
      <c r="A63" s="181" t="str">
        <f>A3</f>
        <v>Dairy Heifers Birth to Calving</v>
      </c>
      <c r="B63" s="182"/>
      <c r="C63" s="182"/>
      <c r="D63" s="182"/>
      <c r="E63" s="183"/>
      <c r="F63" s="183"/>
      <c r="G63" s="183"/>
      <c r="H63" s="183"/>
      <c r="I63" s="136"/>
      <c r="J63" s="137" t="s">
        <v>12</v>
      </c>
      <c r="K63" s="10"/>
      <c r="M63" s="2" t="s">
        <v>0</v>
      </c>
      <c r="U63" s="2" t="s">
        <v>0</v>
      </c>
    </row>
    <row r="64" spans="1:21" ht="21" customHeight="1">
      <c r="A64" s="131" t="s">
        <v>91</v>
      </c>
      <c r="B64" s="29"/>
      <c r="C64" s="37"/>
      <c r="D64" s="29"/>
      <c r="E64" s="51"/>
      <c r="F64" s="51"/>
      <c r="G64" s="42"/>
      <c r="H64" s="42"/>
      <c r="I64" s="97"/>
      <c r="J64" s="42"/>
      <c r="K64" s="10"/>
      <c r="M64" s="2" t="s">
        <v>0</v>
      </c>
      <c r="U64" s="2" t="s">
        <v>0</v>
      </c>
    </row>
    <row r="65" spans="1:21" ht="15">
      <c r="A65" s="52" t="s">
        <v>6</v>
      </c>
      <c r="B65" s="29"/>
      <c r="C65" s="37"/>
      <c r="D65" s="42" t="s">
        <v>101</v>
      </c>
      <c r="E65" s="42" t="s">
        <v>102</v>
      </c>
      <c r="F65" s="42" t="s">
        <v>105</v>
      </c>
      <c r="G65" s="42" t="s">
        <v>107</v>
      </c>
      <c r="H65" s="42" t="s">
        <v>118</v>
      </c>
      <c r="I65" s="42" t="s">
        <v>117</v>
      </c>
      <c r="J65" s="42"/>
      <c r="K65" s="71"/>
      <c r="L65" s="42"/>
      <c r="M65" s="42"/>
      <c r="U65" s="2" t="s">
        <v>0</v>
      </c>
    </row>
    <row r="66" spans="1:21" ht="15">
      <c r="A66" s="43"/>
      <c r="B66" s="179"/>
      <c r="C66" s="180"/>
      <c r="D66" s="42" t="s">
        <v>102</v>
      </c>
      <c r="E66" s="42" t="s">
        <v>104</v>
      </c>
      <c r="F66" s="42" t="s">
        <v>106</v>
      </c>
      <c r="G66" s="42" t="s">
        <v>108</v>
      </c>
      <c r="H66" s="42" t="s">
        <v>117</v>
      </c>
      <c r="I66" s="42" t="s">
        <v>103</v>
      </c>
      <c r="J66" s="42"/>
      <c r="K66" s="71" t="s">
        <v>37</v>
      </c>
      <c r="L66" s="42"/>
      <c r="M66" s="42"/>
      <c r="U66" s="2" t="s">
        <v>0</v>
      </c>
    </row>
    <row r="67" spans="1:21" ht="15">
      <c r="A67" s="43"/>
      <c r="B67" s="179" t="s">
        <v>22</v>
      </c>
      <c r="C67" s="180"/>
      <c r="D67" s="150">
        <f>(E4*(1-(G5/2)))</f>
        <v>95</v>
      </c>
      <c r="E67" s="150">
        <f>D67*(1-((G5+G6)/2))</f>
        <v>89.3</v>
      </c>
      <c r="F67" s="150">
        <f>E67*(1-((G6+G7)/2))</f>
        <v>86.1745</v>
      </c>
      <c r="G67" s="150">
        <f>F67*(1-((G7+G8)/2))</f>
        <v>83.15839249999999</v>
      </c>
      <c r="H67" s="150">
        <f>G67*(1-((G8+G9)/2))</f>
        <v>81.91101661249999</v>
      </c>
      <c r="I67" s="150">
        <f>H67*(1-A9-(G9/2))</f>
        <v>77.40591069881249</v>
      </c>
      <c r="J67" s="88" t="s">
        <v>38</v>
      </c>
      <c r="K67" s="10" t="s">
        <v>119</v>
      </c>
      <c r="M67" s="2"/>
      <c r="U67" s="2"/>
    </row>
    <row r="68" spans="1:26" ht="15">
      <c r="A68" s="76" t="s">
        <v>46</v>
      </c>
      <c r="B68" s="187" t="s">
        <v>23</v>
      </c>
      <c r="C68" s="188"/>
      <c r="D68" s="55">
        <v>56</v>
      </c>
      <c r="E68" s="55">
        <v>67</v>
      </c>
      <c r="F68" s="55">
        <v>134</v>
      </c>
      <c r="G68" s="55">
        <v>200</v>
      </c>
      <c r="H68" s="55">
        <v>120</v>
      </c>
      <c r="I68" s="55">
        <v>215</v>
      </c>
      <c r="J68" s="89" t="s">
        <v>39</v>
      </c>
      <c r="K68" s="160">
        <f>SUM(D68:I68)</f>
        <v>792</v>
      </c>
      <c r="M68" s="2" t="s">
        <v>0</v>
      </c>
      <c r="U68" s="2" t="s">
        <v>0</v>
      </c>
      <c r="Z68" s="8" t="s">
        <v>0</v>
      </c>
    </row>
    <row r="69" spans="1:26" ht="15">
      <c r="A69" s="56"/>
      <c r="B69" s="57"/>
      <c r="C69" s="173" t="s">
        <v>150</v>
      </c>
      <c r="D69" s="58"/>
      <c r="E69" s="58"/>
      <c r="F69" s="58"/>
      <c r="G69" s="58"/>
      <c r="H69" s="58"/>
      <c r="I69" s="58"/>
      <c r="J69" s="58"/>
      <c r="K69" s="71">
        <f>K68/30.41</f>
        <v>26.044064452482736</v>
      </c>
      <c r="M69" s="2" t="s">
        <v>0</v>
      </c>
      <c r="U69" s="2" t="s">
        <v>0</v>
      </c>
      <c r="Z69" s="8" t="s">
        <v>0</v>
      </c>
    </row>
    <row r="70" spans="1:26" ht="15">
      <c r="A70" s="59" t="s">
        <v>92</v>
      </c>
      <c r="B70" s="172" t="s">
        <v>149</v>
      </c>
      <c r="C70" s="119">
        <v>100</v>
      </c>
      <c r="D70" s="41">
        <v>1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4">
        <f aca="true" t="shared" si="5" ref="J70:J79">(($E$67*$E$68*E70)+($F$67*$F$68*F70)+($G$67*$G$68*G70)+($H$67*$H$68*H70)+($I$67*$I$68*I70)+($D$67*$D$68*D70))/2000</f>
        <v>2.66</v>
      </c>
      <c r="K70" s="10" t="s">
        <v>63</v>
      </c>
      <c r="M70" s="2"/>
      <c r="U70" s="2"/>
      <c r="Z70" s="8"/>
    </row>
    <row r="71" spans="1:26" ht="15">
      <c r="A71" s="59" t="s">
        <v>93</v>
      </c>
      <c r="B71" s="172" t="s">
        <v>149</v>
      </c>
      <c r="C71" s="119">
        <v>100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4">
        <f t="shared" si="5"/>
        <v>0</v>
      </c>
      <c r="K71" s="10"/>
      <c r="M71" s="2"/>
      <c r="U71" s="2"/>
      <c r="Z71" s="8"/>
    </row>
    <row r="72" spans="1:11" ht="15">
      <c r="A72" s="59" t="s">
        <v>20</v>
      </c>
      <c r="B72" s="172" t="s">
        <v>149</v>
      </c>
      <c r="C72" s="119"/>
      <c r="D72" s="41">
        <v>0</v>
      </c>
      <c r="E72" s="41">
        <v>0</v>
      </c>
      <c r="F72" s="41">
        <v>18</v>
      </c>
      <c r="G72" s="41">
        <v>19</v>
      </c>
      <c r="H72" s="41">
        <v>37</v>
      </c>
      <c r="I72" s="41">
        <v>37</v>
      </c>
      <c r="J72" s="44">
        <f t="shared" si="5"/>
        <v>751.6518594342767</v>
      </c>
      <c r="K72" s="10"/>
    </row>
    <row r="73" spans="1:26" ht="15" customHeight="1">
      <c r="A73" s="59" t="s">
        <v>94</v>
      </c>
      <c r="B73" s="172" t="s">
        <v>149</v>
      </c>
      <c r="C73" s="119"/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4">
        <f t="shared" si="5"/>
        <v>0</v>
      </c>
      <c r="K73" s="10"/>
      <c r="L73" s="5" t="s">
        <v>0</v>
      </c>
      <c r="M73" s="2" t="s">
        <v>0</v>
      </c>
      <c r="N73" s="5" t="s">
        <v>0</v>
      </c>
      <c r="U73" s="2" t="s">
        <v>0</v>
      </c>
      <c r="Z73" s="8" t="s">
        <v>0</v>
      </c>
    </row>
    <row r="74" spans="1:26" ht="15" customHeight="1">
      <c r="A74" s="59" t="s">
        <v>95</v>
      </c>
      <c r="B74" s="172" t="s">
        <v>149</v>
      </c>
      <c r="C74" s="119"/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4">
        <f t="shared" si="5"/>
        <v>0</v>
      </c>
      <c r="K74" s="10"/>
      <c r="L74" s="5" t="s">
        <v>0</v>
      </c>
      <c r="M74" s="2" t="s">
        <v>0</v>
      </c>
      <c r="N74" s="5" t="s">
        <v>0</v>
      </c>
      <c r="U74" s="2" t="s">
        <v>0</v>
      </c>
      <c r="Z74" s="8" t="s">
        <v>0</v>
      </c>
    </row>
    <row r="75" spans="1:26" ht="15" customHeight="1">
      <c r="A75" s="59" t="s">
        <v>96</v>
      </c>
      <c r="B75" s="172" t="s">
        <v>149</v>
      </c>
      <c r="C75" s="119"/>
      <c r="D75" s="41">
        <v>3</v>
      </c>
      <c r="E75" s="41">
        <v>3</v>
      </c>
      <c r="F75" s="41">
        <v>3</v>
      </c>
      <c r="G75" s="41">
        <v>0</v>
      </c>
      <c r="H75" s="41">
        <v>0</v>
      </c>
      <c r="I75" s="41">
        <v>0</v>
      </c>
      <c r="J75" s="44">
        <f t="shared" si="5"/>
        <v>34.275724499999995</v>
      </c>
      <c r="K75" s="10"/>
      <c r="L75" s="5" t="s">
        <v>0</v>
      </c>
      <c r="M75" s="2" t="s">
        <v>0</v>
      </c>
      <c r="N75" s="5" t="s">
        <v>0</v>
      </c>
      <c r="U75" s="2" t="s">
        <v>0</v>
      </c>
      <c r="Z75" s="8" t="s">
        <v>0</v>
      </c>
    </row>
    <row r="76" spans="1:26" ht="15" customHeight="1">
      <c r="A76" s="59" t="s">
        <v>97</v>
      </c>
      <c r="B76" s="172" t="s">
        <v>149</v>
      </c>
      <c r="C76" s="119"/>
      <c r="D76" s="41">
        <v>0</v>
      </c>
      <c r="E76" s="41">
        <v>0</v>
      </c>
      <c r="F76" s="41">
        <v>0</v>
      </c>
      <c r="G76" s="41">
        <v>7.5</v>
      </c>
      <c r="H76" s="41">
        <v>5.5</v>
      </c>
      <c r="I76" s="41">
        <v>5.5</v>
      </c>
      <c r="J76" s="44">
        <f t="shared" si="5"/>
        <v>135.16567455779787</v>
      </c>
      <c r="K76" s="10"/>
      <c r="L76" s="5" t="s">
        <v>0</v>
      </c>
      <c r="M76" s="2" t="s">
        <v>0</v>
      </c>
      <c r="N76" s="5" t="s">
        <v>0</v>
      </c>
      <c r="U76" s="2" t="s">
        <v>0</v>
      </c>
      <c r="Z76" s="8" t="s">
        <v>0</v>
      </c>
    </row>
    <row r="77" spans="1:11" ht="15">
      <c r="A77" s="118" t="s">
        <v>21</v>
      </c>
      <c r="B77" s="172" t="s">
        <v>149</v>
      </c>
      <c r="C77" s="119">
        <v>56</v>
      </c>
      <c r="D77" s="41">
        <v>0</v>
      </c>
      <c r="E77" s="41">
        <v>4.5</v>
      </c>
      <c r="F77" s="41">
        <v>0</v>
      </c>
      <c r="G77" s="41">
        <v>0</v>
      </c>
      <c r="H77" s="41">
        <v>0</v>
      </c>
      <c r="I77" s="41">
        <v>0</v>
      </c>
      <c r="J77" s="44">
        <f t="shared" si="5"/>
        <v>13.461974999999999</v>
      </c>
      <c r="K77" s="10"/>
    </row>
    <row r="78" spans="1:21" ht="15" customHeight="1">
      <c r="A78" s="59" t="s">
        <v>7</v>
      </c>
      <c r="B78" s="172" t="s">
        <v>149</v>
      </c>
      <c r="C78" s="119"/>
      <c r="D78" s="41">
        <v>0</v>
      </c>
      <c r="E78" s="41">
        <v>0.5</v>
      </c>
      <c r="F78" s="41">
        <v>1</v>
      </c>
      <c r="G78" s="41">
        <v>1.7</v>
      </c>
      <c r="H78" s="41">
        <v>3</v>
      </c>
      <c r="I78" s="41">
        <v>3</v>
      </c>
      <c r="J78" s="44">
        <f t="shared" si="5"/>
        <v>61.113782415617024</v>
      </c>
      <c r="K78" s="10"/>
      <c r="M78" s="2" t="s">
        <v>0</v>
      </c>
      <c r="U78" s="2" t="s">
        <v>0</v>
      </c>
    </row>
    <row r="79" spans="1:21" ht="15">
      <c r="A79" s="59" t="s">
        <v>24</v>
      </c>
      <c r="B79" s="172" t="s">
        <v>149</v>
      </c>
      <c r="C79" s="119"/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4">
        <f t="shared" si="5"/>
        <v>0</v>
      </c>
      <c r="K79" s="10"/>
      <c r="L79" s="5" t="s">
        <v>0</v>
      </c>
      <c r="M79" s="2" t="s">
        <v>0</v>
      </c>
      <c r="N79" s="5" t="s">
        <v>0</v>
      </c>
      <c r="U79" s="2" t="s">
        <v>0</v>
      </c>
    </row>
    <row r="80" spans="1:21" ht="15.75" thickBo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71"/>
      <c r="M80" s="2" t="s">
        <v>0</v>
      </c>
      <c r="U80" s="2" t="s">
        <v>0</v>
      </c>
    </row>
    <row r="81" spans="1:26" ht="21" customHeight="1" thickTop="1">
      <c r="A81" s="131" t="s">
        <v>76</v>
      </c>
      <c r="B81" s="29"/>
      <c r="C81" s="51"/>
      <c r="D81" s="42" t="s">
        <v>48</v>
      </c>
      <c r="E81" s="62"/>
      <c r="F81" s="46" t="s">
        <v>50</v>
      </c>
      <c r="G81" s="51"/>
      <c r="H81" s="46" t="s">
        <v>52</v>
      </c>
      <c r="I81" s="46" t="s">
        <v>50</v>
      </c>
      <c r="J81" s="42" t="s">
        <v>55</v>
      </c>
      <c r="K81" s="10"/>
      <c r="M81" s="2" t="s">
        <v>0</v>
      </c>
      <c r="U81" s="2" t="s">
        <v>0</v>
      </c>
      <c r="Z81" s="8" t="s">
        <v>0</v>
      </c>
    </row>
    <row r="82" spans="1:21" ht="15">
      <c r="A82" s="53" t="s">
        <v>47</v>
      </c>
      <c r="B82" s="54"/>
      <c r="C82" s="63"/>
      <c r="D82" s="64" t="s">
        <v>49</v>
      </c>
      <c r="E82" s="63"/>
      <c r="F82" s="93" t="s">
        <v>51</v>
      </c>
      <c r="G82" s="63"/>
      <c r="H82" s="93" t="s">
        <v>53</v>
      </c>
      <c r="I82" s="93" t="s">
        <v>54</v>
      </c>
      <c r="J82" s="64" t="s">
        <v>56</v>
      </c>
      <c r="K82" s="10"/>
      <c r="M82" s="2" t="s">
        <v>0</v>
      </c>
      <c r="U82" s="2" t="s">
        <v>0</v>
      </c>
    </row>
    <row r="83" spans="1:26" ht="12" customHeight="1">
      <c r="A83" s="61"/>
      <c r="B83" s="61"/>
      <c r="C83" s="61"/>
      <c r="D83" s="61"/>
      <c r="E83" s="61"/>
      <c r="F83" s="46"/>
      <c r="G83" s="61"/>
      <c r="H83" s="46"/>
      <c r="I83" s="46"/>
      <c r="J83" s="61"/>
      <c r="K83" s="10"/>
      <c r="M83" s="2" t="s">
        <v>0</v>
      </c>
      <c r="U83" s="2" t="s">
        <v>0</v>
      </c>
      <c r="Z83" s="8" t="s">
        <v>0</v>
      </c>
    </row>
    <row r="84" spans="1:26" ht="15">
      <c r="A84" s="59" t="s">
        <v>41</v>
      </c>
      <c r="B84" s="43"/>
      <c r="C84" s="29"/>
      <c r="D84" s="65">
        <v>0</v>
      </c>
      <c r="E84" s="43"/>
      <c r="F84" s="73">
        <v>0.08</v>
      </c>
      <c r="G84" s="43"/>
      <c r="H84" s="94">
        <v>0</v>
      </c>
      <c r="I84" s="95">
        <v>1</v>
      </c>
      <c r="J84" s="45">
        <f>(IF(H84&gt;0,PMT(F84,H84,-D84),0))*(I84)</f>
        <v>0</v>
      </c>
      <c r="K84" s="96"/>
      <c r="L84" s="5" t="s">
        <v>0</v>
      </c>
      <c r="M84" s="2" t="s">
        <v>0</v>
      </c>
      <c r="N84" s="5" t="s">
        <v>0</v>
      </c>
      <c r="U84" s="2" t="s">
        <v>0</v>
      </c>
      <c r="Z84" s="8" t="s">
        <v>0</v>
      </c>
    </row>
    <row r="85" spans="1:11" ht="15">
      <c r="A85" s="59" t="s">
        <v>41</v>
      </c>
      <c r="B85" s="43"/>
      <c r="C85" s="29"/>
      <c r="D85" s="65">
        <v>0</v>
      </c>
      <c r="E85" s="43"/>
      <c r="F85" s="73">
        <v>0.08</v>
      </c>
      <c r="G85" s="43"/>
      <c r="H85" s="94">
        <v>0</v>
      </c>
      <c r="I85" s="95">
        <v>1</v>
      </c>
      <c r="J85" s="45">
        <f>(IF(H85&gt;0,PMT(F85,H85,-D85),0))*(I85)</f>
        <v>0</v>
      </c>
      <c r="K85" s="96"/>
    </row>
    <row r="86" spans="1:11" ht="15">
      <c r="A86" s="59" t="s">
        <v>41</v>
      </c>
      <c r="B86" s="43"/>
      <c r="C86" s="29"/>
      <c r="D86" s="65">
        <v>0</v>
      </c>
      <c r="E86" s="43"/>
      <c r="F86" s="73">
        <v>0.08</v>
      </c>
      <c r="G86" s="43"/>
      <c r="H86" s="94">
        <v>0</v>
      </c>
      <c r="I86" s="95">
        <v>1</v>
      </c>
      <c r="J86" s="45">
        <f>(IF(H86&gt;0,PMT(F86,H86,-D86),0))*(I86)</f>
        <v>0</v>
      </c>
      <c r="K86" s="96"/>
    </row>
    <row r="87" spans="1:26" ht="15" customHeight="1">
      <c r="A87" s="66"/>
      <c r="B87" s="66"/>
      <c r="C87" s="66"/>
      <c r="D87" s="66"/>
      <c r="E87" s="66"/>
      <c r="F87" s="66"/>
      <c r="G87" s="66"/>
      <c r="H87" s="66"/>
      <c r="I87" s="66"/>
      <c r="J87" s="135"/>
      <c r="K87" s="96"/>
      <c r="M87" s="2" t="s">
        <v>0</v>
      </c>
      <c r="U87" s="2" t="s">
        <v>0</v>
      </c>
      <c r="Z87" s="8" t="s">
        <v>0</v>
      </c>
    </row>
    <row r="88" spans="1:26" ht="15.75" thickBot="1">
      <c r="A88" s="49"/>
      <c r="B88" s="49"/>
      <c r="C88" s="67"/>
      <c r="D88" s="68"/>
      <c r="E88" s="49"/>
      <c r="F88" s="90" t="s">
        <v>8</v>
      </c>
      <c r="G88" s="91"/>
      <c r="H88" s="91"/>
      <c r="I88" s="92"/>
      <c r="J88" s="115">
        <f>SUM(J83:J87)</f>
        <v>0</v>
      </c>
      <c r="K88" s="96"/>
      <c r="M88" s="2" t="s">
        <v>0</v>
      </c>
      <c r="U88" s="2" t="s">
        <v>0</v>
      </c>
      <c r="Z88" s="8" t="s">
        <v>0</v>
      </c>
    </row>
    <row r="89" spans="1:21" ht="21" customHeight="1" thickTop="1">
      <c r="A89" s="131" t="s">
        <v>77</v>
      </c>
      <c r="B89" s="128"/>
      <c r="D89" s="29"/>
      <c r="E89" s="29"/>
      <c r="F89" s="29"/>
      <c r="G89" s="29"/>
      <c r="H89" s="29"/>
      <c r="I89" s="29"/>
      <c r="J89" s="29"/>
      <c r="K89" s="10"/>
      <c r="M89" s="2" t="s">
        <v>0</v>
      </c>
      <c r="U89" s="2" t="s">
        <v>0</v>
      </c>
    </row>
    <row r="90" spans="1:26" ht="24" customHeight="1">
      <c r="A90" s="87"/>
      <c r="B90" s="77"/>
      <c r="C90" s="78"/>
      <c r="D90" s="190" t="s">
        <v>38</v>
      </c>
      <c r="E90" s="191"/>
      <c r="F90" s="184" t="s">
        <v>138</v>
      </c>
      <c r="G90" s="184"/>
      <c r="H90" s="161" t="s">
        <v>139</v>
      </c>
      <c r="I90" s="38" t="s">
        <v>34</v>
      </c>
      <c r="J90" s="51" t="s">
        <v>126</v>
      </c>
      <c r="K90" s="11"/>
      <c r="M90" s="2" t="s">
        <v>0</v>
      </c>
      <c r="O90" s="7" t="s">
        <v>0</v>
      </c>
      <c r="U90" s="2" t="s">
        <v>0</v>
      </c>
      <c r="Z90" s="8" t="s">
        <v>0</v>
      </c>
    </row>
    <row r="91" spans="1:26" s="16" customFormat="1" ht="15">
      <c r="A91" s="59" t="s">
        <v>140</v>
      </c>
      <c r="B91" s="43"/>
      <c r="C91" s="43"/>
      <c r="D91" s="47">
        <v>1</v>
      </c>
      <c r="E91" s="36" t="s">
        <v>16</v>
      </c>
      <c r="F91" s="121">
        <v>0.38</v>
      </c>
      <c r="G91" s="36" t="s">
        <v>17</v>
      </c>
      <c r="H91" s="162">
        <f aca="true" t="shared" si="6" ref="H91:H97">D91*F91</f>
        <v>0.38</v>
      </c>
      <c r="I91" s="156">
        <f>ROUND($D$67,0)</f>
        <v>95</v>
      </c>
      <c r="J91" s="108">
        <f aca="true" t="shared" si="7" ref="J91:J98">H91*I91</f>
        <v>36.1</v>
      </c>
      <c r="K91" s="14"/>
      <c r="O91" s="15"/>
      <c r="Z91" s="18" t="s">
        <v>0</v>
      </c>
    </row>
    <row r="92" spans="1:26" s="16" customFormat="1" ht="15">
      <c r="A92" s="59" t="s">
        <v>141</v>
      </c>
      <c r="B92" s="43"/>
      <c r="C92" s="43"/>
      <c r="D92" s="47">
        <v>1</v>
      </c>
      <c r="E92" s="36" t="s">
        <v>16</v>
      </c>
      <c r="F92" s="121">
        <v>0.38</v>
      </c>
      <c r="G92" s="36" t="s">
        <v>17</v>
      </c>
      <c r="H92" s="162">
        <f t="shared" si="6"/>
        <v>0.38</v>
      </c>
      <c r="I92" s="156">
        <f>ROUND($D$67,0)</f>
        <v>95</v>
      </c>
      <c r="J92" s="108">
        <f t="shared" si="7"/>
        <v>36.1</v>
      </c>
      <c r="K92" s="14"/>
      <c r="O92" s="15"/>
      <c r="Z92" s="18" t="s">
        <v>0</v>
      </c>
    </row>
    <row r="93" spans="1:26" ht="15">
      <c r="A93" s="176" t="s">
        <v>14</v>
      </c>
      <c r="B93" s="178"/>
      <c r="C93" s="43"/>
      <c r="D93" s="47">
        <v>1</v>
      </c>
      <c r="E93" s="36" t="s">
        <v>16</v>
      </c>
      <c r="F93" s="121">
        <v>0.49</v>
      </c>
      <c r="G93" s="36" t="s">
        <v>17</v>
      </c>
      <c r="H93" s="162">
        <f t="shared" si="6"/>
        <v>0.49</v>
      </c>
      <c r="I93" s="156">
        <f>ROUND($D$67,0)</f>
        <v>95</v>
      </c>
      <c r="J93" s="108">
        <f t="shared" si="7"/>
        <v>46.55</v>
      </c>
      <c r="K93" s="11"/>
      <c r="M93" s="6"/>
      <c r="U93" s="2"/>
      <c r="Z93" s="8" t="s">
        <v>0</v>
      </c>
    </row>
    <row r="94" spans="1:26" ht="15">
      <c r="A94" s="176" t="s">
        <v>61</v>
      </c>
      <c r="B94" s="178"/>
      <c r="C94" s="43"/>
      <c r="D94" s="47">
        <v>1</v>
      </c>
      <c r="E94" s="36" t="s">
        <v>16</v>
      </c>
      <c r="F94" s="121">
        <v>1.81</v>
      </c>
      <c r="G94" s="36" t="s">
        <v>17</v>
      </c>
      <c r="H94" s="162">
        <f t="shared" si="6"/>
        <v>1.81</v>
      </c>
      <c r="I94" s="156">
        <f>ROUND($E$67,0)</f>
        <v>89</v>
      </c>
      <c r="J94" s="108">
        <f t="shared" si="7"/>
        <v>161.09</v>
      </c>
      <c r="K94" s="11"/>
      <c r="M94" s="6"/>
      <c r="U94" s="2"/>
      <c r="Z94" s="8" t="s">
        <v>0</v>
      </c>
    </row>
    <row r="95" spans="1:26" ht="15">
      <c r="A95" s="176" t="s">
        <v>14</v>
      </c>
      <c r="B95" s="178"/>
      <c r="C95" s="43"/>
      <c r="D95" s="47">
        <v>2</v>
      </c>
      <c r="E95" s="36" t="s">
        <v>16</v>
      </c>
      <c r="F95" s="121">
        <v>0.49</v>
      </c>
      <c r="G95" s="36" t="s">
        <v>17</v>
      </c>
      <c r="H95" s="162">
        <f t="shared" si="6"/>
        <v>0.98</v>
      </c>
      <c r="I95" s="156">
        <f>ROUND($F$67,0)</f>
        <v>86</v>
      </c>
      <c r="J95" s="108">
        <f t="shared" si="7"/>
        <v>84.28</v>
      </c>
      <c r="K95" s="11"/>
      <c r="M95" s="6"/>
      <c r="U95" s="2"/>
      <c r="Z95" s="8" t="s">
        <v>0</v>
      </c>
    </row>
    <row r="96" spans="1:26" ht="15">
      <c r="A96" s="176" t="s">
        <v>9</v>
      </c>
      <c r="B96" s="178"/>
      <c r="C96" s="43"/>
      <c r="D96" s="47">
        <v>2</v>
      </c>
      <c r="E96" s="36" t="s">
        <v>16</v>
      </c>
      <c r="F96" s="121">
        <v>1.72</v>
      </c>
      <c r="G96" s="36" t="s">
        <v>17</v>
      </c>
      <c r="H96" s="162">
        <f t="shared" si="6"/>
        <v>3.44</v>
      </c>
      <c r="I96" s="156">
        <f>ROUND($F$67,0)</f>
        <v>86</v>
      </c>
      <c r="J96" s="108">
        <f t="shared" si="7"/>
        <v>295.84</v>
      </c>
      <c r="K96" s="11"/>
      <c r="M96" s="6"/>
      <c r="U96" s="2"/>
      <c r="Z96" s="8" t="s">
        <v>0</v>
      </c>
    </row>
    <row r="97" spans="1:26" s="16" customFormat="1" ht="15">
      <c r="A97" s="59" t="s">
        <v>13</v>
      </c>
      <c r="B97" s="43"/>
      <c r="C97" s="43"/>
      <c r="D97" s="47">
        <v>2</v>
      </c>
      <c r="E97" s="36" t="s">
        <v>15</v>
      </c>
      <c r="F97" s="121">
        <v>1.35</v>
      </c>
      <c r="G97" s="36" t="s">
        <v>19</v>
      </c>
      <c r="H97" s="162">
        <f t="shared" si="6"/>
        <v>2.7</v>
      </c>
      <c r="I97" s="156">
        <f>ROUND($F$67,0)</f>
        <v>86</v>
      </c>
      <c r="J97" s="108">
        <f t="shared" si="7"/>
        <v>232.20000000000002</v>
      </c>
      <c r="K97" s="11"/>
      <c r="M97" s="15"/>
      <c r="O97" s="17" t="s">
        <v>0</v>
      </c>
      <c r="U97" s="15" t="s">
        <v>0</v>
      </c>
      <c r="Z97" s="18" t="s">
        <v>0</v>
      </c>
    </row>
    <row r="98" spans="1:26" s="16" customFormat="1" ht="15">
      <c r="A98" s="59" t="s">
        <v>136</v>
      </c>
      <c r="B98" s="70">
        <v>350</v>
      </c>
      <c r="C98" s="43" t="s">
        <v>11</v>
      </c>
      <c r="D98" s="47">
        <v>1</v>
      </c>
      <c r="E98" s="36" t="s">
        <v>45</v>
      </c>
      <c r="F98" s="121">
        <v>510</v>
      </c>
      <c r="G98" s="36" t="s">
        <v>10</v>
      </c>
      <c r="H98" s="133">
        <f>(B98*D98/100)*(F98/1000)</f>
        <v>1.7850000000000001</v>
      </c>
      <c r="I98" s="156">
        <f>ROUND($F$67,0)</f>
        <v>86</v>
      </c>
      <c r="J98" s="108">
        <f t="shared" si="7"/>
        <v>153.51000000000002</v>
      </c>
      <c r="K98" s="14"/>
      <c r="M98" s="15" t="s">
        <v>0</v>
      </c>
      <c r="U98" s="15" t="s">
        <v>0</v>
      </c>
      <c r="Z98" s="18" t="s">
        <v>0</v>
      </c>
    </row>
    <row r="99" spans="1:26" s="16" customFormat="1" ht="15">
      <c r="A99" s="59" t="s">
        <v>127</v>
      </c>
      <c r="B99" s="43"/>
      <c r="C99" s="43"/>
      <c r="D99" s="47">
        <v>1</v>
      </c>
      <c r="E99" s="36" t="s">
        <v>16</v>
      </c>
      <c r="F99" s="121">
        <v>3.5</v>
      </c>
      <c r="G99" s="36" t="s">
        <v>17</v>
      </c>
      <c r="H99" s="162">
        <f aca="true" t="shared" si="8" ref="H99:H108">D99*F99</f>
        <v>3.5</v>
      </c>
      <c r="I99" s="156">
        <f>ROUND($F$67,0)</f>
        <v>86</v>
      </c>
      <c r="J99" s="108">
        <f aca="true" t="shared" si="9" ref="J99:J108">H99*I99</f>
        <v>301</v>
      </c>
      <c r="K99" s="14"/>
      <c r="M99" s="15"/>
      <c r="U99" s="15"/>
      <c r="Z99" s="18"/>
    </row>
    <row r="100" spans="1:26" s="16" customFormat="1" ht="15">
      <c r="A100" s="59" t="s">
        <v>13</v>
      </c>
      <c r="B100" s="43"/>
      <c r="C100" s="43"/>
      <c r="D100" s="47">
        <v>2</v>
      </c>
      <c r="E100" s="36" t="s">
        <v>15</v>
      </c>
      <c r="F100" s="121">
        <v>1.35</v>
      </c>
      <c r="G100" s="36" t="s">
        <v>19</v>
      </c>
      <c r="H100" s="162">
        <f t="shared" si="8"/>
        <v>2.7</v>
      </c>
      <c r="I100" s="156">
        <f>ROUND($G$67,0)</f>
        <v>83</v>
      </c>
      <c r="J100" s="108">
        <f t="shared" si="9"/>
        <v>224.10000000000002</v>
      </c>
      <c r="K100" s="14"/>
      <c r="M100" s="15"/>
      <c r="U100" s="15"/>
      <c r="Z100" s="18"/>
    </row>
    <row r="101" spans="1:26" s="16" customFormat="1" ht="15">
      <c r="A101" s="176" t="s">
        <v>14</v>
      </c>
      <c r="B101" s="178"/>
      <c r="C101" s="43"/>
      <c r="D101" s="47">
        <v>1</v>
      </c>
      <c r="E101" s="36" t="s">
        <v>16</v>
      </c>
      <c r="F101" s="121">
        <v>0.49</v>
      </c>
      <c r="G101" s="36" t="s">
        <v>17</v>
      </c>
      <c r="H101" s="162">
        <f t="shared" si="8"/>
        <v>0.49</v>
      </c>
      <c r="I101" s="156">
        <f>ROUND($G$67,0)</f>
        <v>83</v>
      </c>
      <c r="J101" s="108">
        <f t="shared" si="9"/>
        <v>40.67</v>
      </c>
      <c r="K101" s="14"/>
      <c r="M101" s="15"/>
      <c r="U101" s="15"/>
      <c r="Z101" s="18"/>
    </row>
    <row r="102" spans="1:26" s="16" customFormat="1" ht="15">
      <c r="A102" s="176" t="s">
        <v>9</v>
      </c>
      <c r="B102" s="178"/>
      <c r="C102" s="43"/>
      <c r="D102" s="47">
        <v>1</v>
      </c>
      <c r="E102" s="36" t="s">
        <v>16</v>
      </c>
      <c r="F102" s="121">
        <v>1.72</v>
      </c>
      <c r="G102" s="36" t="s">
        <v>17</v>
      </c>
      <c r="H102" s="162">
        <f t="shared" si="8"/>
        <v>1.72</v>
      </c>
      <c r="I102" s="156">
        <f>ROUND($G$67,0)</f>
        <v>83</v>
      </c>
      <c r="J102" s="108">
        <f t="shared" si="9"/>
        <v>142.76</v>
      </c>
      <c r="K102" s="14"/>
      <c r="M102" s="15"/>
      <c r="U102" s="15"/>
      <c r="Z102" s="18"/>
    </row>
    <row r="103" spans="1:26" s="16" customFormat="1" ht="15">
      <c r="A103" s="176" t="s">
        <v>128</v>
      </c>
      <c r="B103" s="178"/>
      <c r="C103" s="43"/>
      <c r="D103" s="47">
        <v>2</v>
      </c>
      <c r="E103" s="36" t="s">
        <v>16</v>
      </c>
      <c r="F103" s="121">
        <v>0.77</v>
      </c>
      <c r="G103" s="36" t="s">
        <v>17</v>
      </c>
      <c r="H103" s="162">
        <f t="shared" si="8"/>
        <v>1.54</v>
      </c>
      <c r="I103" s="156">
        <f>ROUND($G$67,0)</f>
        <v>83</v>
      </c>
      <c r="J103" s="108">
        <f t="shared" si="9"/>
        <v>127.82000000000001</v>
      </c>
      <c r="K103" s="14"/>
      <c r="M103" s="15"/>
      <c r="U103" s="15"/>
      <c r="Z103" s="18"/>
    </row>
    <row r="104" spans="1:26" s="16" customFormat="1" ht="15">
      <c r="A104" s="59" t="s">
        <v>136</v>
      </c>
      <c r="B104" s="70">
        <v>750</v>
      </c>
      <c r="C104" s="43" t="s">
        <v>11</v>
      </c>
      <c r="D104" s="47">
        <v>1</v>
      </c>
      <c r="E104" s="36" t="s">
        <v>45</v>
      </c>
      <c r="F104" s="121">
        <v>510</v>
      </c>
      <c r="G104" s="36" t="s">
        <v>10</v>
      </c>
      <c r="H104" s="133">
        <f>(B104*D104/100)*(F104/1000)</f>
        <v>3.825</v>
      </c>
      <c r="I104" s="156">
        <f>ROUND($H$67,0)</f>
        <v>82</v>
      </c>
      <c r="J104" s="108">
        <f t="shared" si="9"/>
        <v>313.65000000000003</v>
      </c>
      <c r="K104" s="14"/>
      <c r="M104" s="15"/>
      <c r="U104" s="15"/>
      <c r="Z104" s="18"/>
    </row>
    <row r="105" spans="1:26" s="16" customFormat="1" ht="15">
      <c r="A105" s="59" t="s">
        <v>59</v>
      </c>
      <c r="B105" s="70">
        <v>1050</v>
      </c>
      <c r="C105" s="43" t="s">
        <v>11</v>
      </c>
      <c r="D105" s="47">
        <v>5</v>
      </c>
      <c r="E105" s="36" t="s">
        <v>45</v>
      </c>
      <c r="F105" s="121">
        <v>80</v>
      </c>
      <c r="G105" s="36" t="s">
        <v>10</v>
      </c>
      <c r="H105" s="133">
        <f>(B105*D105/100)*(F105/1000)</f>
        <v>4.2</v>
      </c>
      <c r="I105" s="156">
        <f>ROUND($I$67,0)</f>
        <v>77</v>
      </c>
      <c r="J105" s="108">
        <f t="shared" si="9"/>
        <v>323.40000000000003</v>
      </c>
      <c r="K105" s="14"/>
      <c r="M105" s="15"/>
      <c r="U105" s="15"/>
      <c r="Z105" s="18"/>
    </row>
    <row r="106" spans="1:26" ht="15">
      <c r="A106" s="176" t="s">
        <v>142</v>
      </c>
      <c r="B106" s="178"/>
      <c r="C106" s="43"/>
      <c r="D106" s="47">
        <v>1</v>
      </c>
      <c r="E106" s="36" t="s">
        <v>16</v>
      </c>
      <c r="F106" s="121">
        <v>1.81</v>
      </c>
      <c r="G106" s="36" t="s">
        <v>17</v>
      </c>
      <c r="H106" s="162">
        <f>D106*F106</f>
        <v>1.81</v>
      </c>
      <c r="I106" s="156">
        <f>ROUND($I$67,0)</f>
        <v>77</v>
      </c>
      <c r="J106" s="108">
        <f t="shared" si="9"/>
        <v>139.37</v>
      </c>
      <c r="K106" s="11"/>
      <c r="M106" s="6"/>
      <c r="U106" s="2"/>
      <c r="Z106" s="8" t="s">
        <v>0</v>
      </c>
    </row>
    <row r="107" spans="1:26" ht="15">
      <c r="A107" s="59"/>
      <c r="B107" s="155"/>
      <c r="C107" s="43"/>
      <c r="D107" s="47"/>
      <c r="E107" s="36"/>
      <c r="F107" s="121"/>
      <c r="G107" s="36"/>
      <c r="H107" s="162"/>
      <c r="I107" s="156"/>
      <c r="J107" s="108"/>
      <c r="K107" s="11"/>
      <c r="M107" s="6"/>
      <c r="U107" s="2"/>
      <c r="Z107" s="8"/>
    </row>
    <row r="108" spans="1:26" s="16" customFormat="1" ht="15">
      <c r="A108" s="59" t="s">
        <v>129</v>
      </c>
      <c r="B108" s="70"/>
      <c r="C108" s="43"/>
      <c r="D108" s="47">
        <v>1</v>
      </c>
      <c r="E108" s="36" t="s">
        <v>130</v>
      </c>
      <c r="F108" s="121">
        <v>35</v>
      </c>
      <c r="G108" s="36" t="s">
        <v>131</v>
      </c>
      <c r="H108" s="162">
        <f t="shared" si="8"/>
        <v>35</v>
      </c>
      <c r="I108" s="156">
        <f>ROUND($H$67,0)</f>
        <v>82</v>
      </c>
      <c r="J108" s="108">
        <f t="shared" si="9"/>
        <v>2870</v>
      </c>
      <c r="K108" s="14"/>
      <c r="M108" s="15"/>
      <c r="U108" s="15"/>
      <c r="Z108" s="18"/>
    </row>
    <row r="109" spans="1:26" s="16" customFormat="1" ht="15">
      <c r="A109" s="59" t="s">
        <v>132</v>
      </c>
      <c r="B109" s="43"/>
      <c r="C109" s="43"/>
      <c r="D109" s="47">
        <v>1</v>
      </c>
      <c r="E109" s="36" t="s">
        <v>133</v>
      </c>
      <c r="F109" s="121">
        <v>3.5</v>
      </c>
      <c r="G109" s="36" t="s">
        <v>131</v>
      </c>
      <c r="H109" s="162">
        <f>D109*F109</f>
        <v>3.5</v>
      </c>
      <c r="I109" s="156">
        <f>ROUND($H$67,0)</f>
        <v>82</v>
      </c>
      <c r="J109" s="108">
        <f>H109*I109</f>
        <v>287</v>
      </c>
      <c r="K109" s="14"/>
      <c r="O109" s="15"/>
      <c r="Z109" s="18" t="s">
        <v>0</v>
      </c>
    </row>
    <row r="110" spans="1:26" s="16" customFormat="1" ht="15">
      <c r="A110" s="59"/>
      <c r="B110" s="43"/>
      <c r="C110" s="43"/>
      <c r="D110" s="47"/>
      <c r="E110" s="36"/>
      <c r="F110" s="121"/>
      <c r="G110" s="36"/>
      <c r="H110" s="162"/>
      <c r="I110" s="156"/>
      <c r="J110" s="108"/>
      <c r="K110" s="14"/>
      <c r="L110" s="28"/>
      <c r="M110" s="27"/>
      <c r="N110" s="28"/>
      <c r="O110" s="28"/>
      <c r="P110" s="28"/>
      <c r="U110" s="15"/>
      <c r="Z110" s="18"/>
    </row>
    <row r="111" spans="1:26" ht="15">
      <c r="A111" s="152" t="s">
        <v>85</v>
      </c>
      <c r="B111" s="153">
        <v>0.1</v>
      </c>
      <c r="C111" s="151"/>
      <c r="D111" s="47">
        <v>1</v>
      </c>
      <c r="E111" s="36" t="s">
        <v>16</v>
      </c>
      <c r="F111" s="121">
        <v>8</v>
      </c>
      <c r="G111" s="36" t="s">
        <v>17</v>
      </c>
      <c r="H111" s="162">
        <f>D111*F111</f>
        <v>8</v>
      </c>
      <c r="I111" s="156">
        <f>E4</f>
        <v>100</v>
      </c>
      <c r="J111" s="108">
        <f>H111*I111</f>
        <v>800</v>
      </c>
      <c r="K111" s="11"/>
      <c r="M111" s="3"/>
      <c r="U111" s="2"/>
      <c r="Z111" s="8"/>
    </row>
    <row r="112" spans="1:26" ht="15.75" customHeight="1">
      <c r="A112" s="54"/>
      <c r="B112" s="53" t="s">
        <v>125</v>
      </c>
      <c r="C112" s="54"/>
      <c r="D112" s="54"/>
      <c r="E112" s="54"/>
      <c r="F112" s="154"/>
      <c r="G112" s="54"/>
      <c r="H112" s="54"/>
      <c r="I112" s="54"/>
      <c r="J112" s="45">
        <f>SUM(J91:J111)</f>
        <v>6615.4400000000005</v>
      </c>
      <c r="K112" s="11"/>
      <c r="M112" s="3"/>
      <c r="T112" s="9"/>
      <c r="Z112" s="8"/>
    </row>
    <row r="113" spans="1:21" ht="24" customHeight="1">
      <c r="A113" s="176" t="s">
        <v>78</v>
      </c>
      <c r="B113" s="177"/>
      <c r="D113" s="47">
        <v>4</v>
      </c>
      <c r="E113" s="29" t="s">
        <v>42</v>
      </c>
      <c r="F113" s="69">
        <v>250</v>
      </c>
      <c r="G113" s="36" t="s">
        <v>18</v>
      </c>
      <c r="H113" s="138" t="s">
        <v>74</v>
      </c>
      <c r="I113" s="139"/>
      <c r="J113" s="45">
        <f>D113*F113</f>
        <v>1000</v>
      </c>
      <c r="K113" s="10"/>
      <c r="L113" s="5" t="s">
        <v>0</v>
      </c>
      <c r="M113" s="2" t="s">
        <v>0</v>
      </c>
      <c r="N113" s="5" t="s">
        <v>0</v>
      </c>
      <c r="U113" s="2" t="s">
        <v>0</v>
      </c>
    </row>
    <row r="114" spans="1:21" ht="12" customHeight="1">
      <c r="A114" s="59"/>
      <c r="B114" s="36"/>
      <c r="D114" s="47"/>
      <c r="E114" s="29"/>
      <c r="F114" s="69"/>
      <c r="G114" s="36"/>
      <c r="H114" s="29"/>
      <c r="I114" s="108"/>
      <c r="J114" s="45"/>
      <c r="K114" s="10"/>
      <c r="L114" s="5"/>
      <c r="M114" s="2"/>
      <c r="N114" s="5"/>
      <c r="U114" s="2"/>
    </row>
    <row r="115" spans="1:21" ht="20.25" customHeight="1">
      <c r="A115" s="113" t="s">
        <v>88</v>
      </c>
      <c r="B115" s="138" t="s">
        <v>74</v>
      </c>
      <c r="C115" s="138" t="s">
        <v>74</v>
      </c>
      <c r="D115" s="138"/>
      <c r="E115" s="142"/>
      <c r="F115" s="140"/>
      <c r="G115" s="140"/>
      <c r="H115" s="138" t="s">
        <v>74</v>
      </c>
      <c r="I115" s="141"/>
      <c r="J115" s="114">
        <f>J112+J113</f>
        <v>7615.4400000000005</v>
      </c>
      <c r="K115" s="11"/>
      <c r="L115" s="5" t="s">
        <v>0</v>
      </c>
      <c r="M115" s="2"/>
      <c r="N115" s="5"/>
      <c r="U115" s="2" t="s">
        <v>0</v>
      </c>
    </row>
    <row r="116" spans="1:24" s="16" customFormat="1" ht="15" thickBot="1">
      <c r="A116" s="86"/>
      <c r="B116" s="79"/>
      <c r="C116" s="79"/>
      <c r="D116" s="79"/>
      <c r="E116" s="80"/>
      <c r="F116" s="81"/>
      <c r="G116" s="80"/>
      <c r="H116" s="84"/>
      <c r="I116" s="84"/>
      <c r="J116" s="85"/>
      <c r="K116" s="11"/>
      <c r="L116" s="82"/>
      <c r="M116" s="82"/>
      <c r="N116" s="82"/>
      <c r="S116" s="15" t="s">
        <v>0</v>
      </c>
      <c r="X116" s="18" t="s">
        <v>0</v>
      </c>
    </row>
    <row r="117" spans="6:24" s="16" customFormat="1" ht="24" customHeight="1">
      <c r="F117" s="83" t="s">
        <v>43</v>
      </c>
      <c r="G117" s="3"/>
      <c r="H117" s="3"/>
      <c r="J117" s="3"/>
      <c r="K117" s="15"/>
      <c r="L117" s="82"/>
      <c r="S117" s="15"/>
      <c r="X117" s="18"/>
    </row>
    <row r="118" spans="1:24" s="16" customFormat="1" ht="15" customHeight="1">
      <c r="A118" s="189" t="s">
        <v>44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5"/>
      <c r="L118" s="82"/>
      <c r="S118" s="15"/>
      <c r="X118" s="18"/>
    </row>
    <row r="119" ht="15">
      <c r="D119" s="26"/>
    </row>
    <row r="120" ht="15">
      <c r="D120" s="26"/>
    </row>
    <row r="133" ht="15">
      <c r="A133" s="1" t="s">
        <v>144</v>
      </c>
    </row>
    <row r="134" spans="1:21" ht="15">
      <c r="A134" s="52" t="s">
        <v>6</v>
      </c>
      <c r="B134" s="29"/>
      <c r="C134" s="37"/>
      <c r="D134" s="42" t="str">
        <f aca="true" t="shared" si="10" ref="D134:I134">D65</f>
        <v>Birth to</v>
      </c>
      <c r="E134" s="42" t="str">
        <f t="shared" si="10"/>
        <v>Weaning</v>
      </c>
      <c r="F134" s="42" t="str">
        <f t="shared" si="10"/>
        <v>300 Lbs</v>
      </c>
      <c r="G134" s="42" t="str">
        <f t="shared" si="10"/>
        <v>500 Lbs</v>
      </c>
      <c r="H134" s="42" t="str">
        <f t="shared" si="10"/>
        <v>800 Lbs to</v>
      </c>
      <c r="I134" s="42" t="str">
        <f t="shared" si="10"/>
        <v>Preg Check</v>
      </c>
      <c r="J134" s="42"/>
      <c r="L134" s="42"/>
      <c r="M134" s="42"/>
      <c r="U134" s="2" t="s">
        <v>0</v>
      </c>
    </row>
    <row r="135" spans="1:21" ht="15">
      <c r="A135" s="43"/>
      <c r="B135" s="179"/>
      <c r="C135" s="180"/>
      <c r="D135" s="42" t="s">
        <v>102</v>
      </c>
      <c r="E135" s="42" t="s">
        <v>104</v>
      </c>
      <c r="F135" s="42" t="s">
        <v>106</v>
      </c>
      <c r="G135" s="42" t="s">
        <v>108</v>
      </c>
      <c r="H135" s="42" t="s">
        <v>117</v>
      </c>
      <c r="I135" s="42" t="s">
        <v>103</v>
      </c>
      <c r="J135" s="42"/>
      <c r="L135" s="42"/>
      <c r="M135" s="42"/>
      <c r="U135" s="2" t="s">
        <v>0</v>
      </c>
    </row>
    <row r="136" spans="1:21" ht="15">
      <c r="A136" s="43"/>
      <c r="B136" s="179" t="s">
        <v>22</v>
      </c>
      <c r="C136" s="180"/>
      <c r="D136" s="42">
        <f aca="true" t="shared" si="11" ref="D136:I137">D67</f>
        <v>95</v>
      </c>
      <c r="E136" s="42">
        <f t="shared" si="11"/>
        <v>89.3</v>
      </c>
      <c r="F136" s="42">
        <f t="shared" si="11"/>
        <v>86.1745</v>
      </c>
      <c r="G136" s="42">
        <f t="shared" si="11"/>
        <v>83.15839249999999</v>
      </c>
      <c r="H136" s="42">
        <f t="shared" si="11"/>
        <v>81.91101661249999</v>
      </c>
      <c r="I136" s="42">
        <f t="shared" si="11"/>
        <v>77.40591069881249</v>
      </c>
      <c r="J136" s="88"/>
      <c r="M136" s="2"/>
      <c r="U136" s="2"/>
    </row>
    <row r="137" spans="1:26" ht="15">
      <c r="A137" s="76"/>
      <c r="B137" s="187" t="s">
        <v>23</v>
      </c>
      <c r="C137" s="188"/>
      <c r="D137" s="163">
        <f t="shared" si="11"/>
        <v>56</v>
      </c>
      <c r="E137" s="163">
        <f t="shared" si="11"/>
        <v>67</v>
      </c>
      <c r="F137" s="163">
        <f t="shared" si="11"/>
        <v>134</v>
      </c>
      <c r="G137" s="163">
        <f t="shared" si="11"/>
        <v>200</v>
      </c>
      <c r="H137" s="163">
        <f t="shared" si="11"/>
        <v>120</v>
      </c>
      <c r="I137" s="163">
        <f t="shared" si="11"/>
        <v>215</v>
      </c>
      <c r="J137" s="89"/>
      <c r="M137" s="2" t="s">
        <v>0</v>
      </c>
      <c r="U137" s="2" t="s">
        <v>0</v>
      </c>
      <c r="Z137" s="8" t="s">
        <v>0</v>
      </c>
    </row>
    <row r="138" spans="1:26" ht="15">
      <c r="A138" s="164"/>
      <c r="B138" s="165"/>
      <c r="C138" s="166"/>
      <c r="D138" s="167"/>
      <c r="E138" s="167"/>
      <c r="F138" s="167"/>
      <c r="G138" s="167"/>
      <c r="H138" s="167"/>
      <c r="I138" s="167"/>
      <c r="J138" s="168"/>
      <c r="M138" s="2"/>
      <c r="U138" s="2"/>
      <c r="Z138" s="8"/>
    </row>
    <row r="139" spans="1:9" ht="15">
      <c r="A139" s="185" t="s">
        <v>143</v>
      </c>
      <c r="B139" s="186"/>
      <c r="D139" s="169">
        <v>0.2</v>
      </c>
      <c r="E139" s="169">
        <v>0.075</v>
      </c>
      <c r="F139" s="170">
        <v>0.075</v>
      </c>
      <c r="G139" s="169">
        <v>0.035</v>
      </c>
      <c r="H139" s="169">
        <v>0.035</v>
      </c>
      <c r="I139" s="169">
        <v>0.035</v>
      </c>
    </row>
    <row r="140" spans="1:9" ht="15">
      <c r="A140" s="185" t="s">
        <v>145</v>
      </c>
      <c r="B140" s="186"/>
      <c r="D140" s="169"/>
      <c r="E140" s="169"/>
      <c r="F140" s="170"/>
      <c r="G140" s="169"/>
      <c r="H140" s="169"/>
      <c r="I140" s="169"/>
    </row>
    <row r="141" spans="1:9" ht="15">
      <c r="A141" s="2" t="s">
        <v>146</v>
      </c>
      <c r="B141"/>
      <c r="D141" s="169"/>
      <c r="E141" s="169"/>
      <c r="F141" s="170"/>
      <c r="G141" s="169"/>
      <c r="H141" s="169"/>
      <c r="I141" s="169"/>
    </row>
    <row r="142" spans="1:9" ht="15">
      <c r="A142" s="2" t="s">
        <v>147</v>
      </c>
      <c r="B142"/>
      <c r="D142" s="169"/>
      <c r="E142" s="169"/>
      <c r="F142" s="170"/>
      <c r="G142" s="169"/>
      <c r="H142" s="169"/>
      <c r="I142" s="169"/>
    </row>
    <row r="143" spans="1:9" ht="15">
      <c r="A143" s="2"/>
      <c r="B143"/>
      <c r="D143" s="169"/>
      <c r="E143" s="169"/>
      <c r="F143" s="170"/>
      <c r="G143" s="169"/>
      <c r="H143" s="169"/>
      <c r="I143" s="169"/>
    </row>
    <row r="145" spans="1:10" ht="15">
      <c r="A145" s="1" t="s">
        <v>135</v>
      </c>
      <c r="D145" s="171">
        <f aca="true" t="shared" si="12" ref="D145:I145">D136*D137*D139</f>
        <v>1064</v>
      </c>
      <c r="E145" s="171">
        <f t="shared" si="12"/>
        <v>448.73249999999996</v>
      </c>
      <c r="F145" s="171">
        <f t="shared" si="12"/>
        <v>866.053725</v>
      </c>
      <c r="G145" s="171">
        <f t="shared" si="12"/>
        <v>582.1087474999999</v>
      </c>
      <c r="H145" s="171">
        <f t="shared" si="12"/>
        <v>344.02626977250003</v>
      </c>
      <c r="I145" s="171">
        <f t="shared" si="12"/>
        <v>582.479478008564</v>
      </c>
      <c r="J145" s="171">
        <f>SUM(D145:I145)</f>
        <v>3887.400720281064</v>
      </c>
    </row>
    <row r="156" spans="2:16" ht="15">
      <c r="B156" s="5"/>
      <c r="C156" s="5"/>
      <c r="L156" s="3"/>
      <c r="M156" s="5"/>
      <c r="N156" s="3"/>
      <c r="O156" s="3"/>
      <c r="P156" s="3"/>
    </row>
    <row r="157" spans="12:16" ht="15">
      <c r="L157" s="3"/>
      <c r="M157" s="5"/>
      <c r="N157" s="3"/>
      <c r="O157" s="3"/>
      <c r="P157" s="3"/>
    </row>
    <row r="158" spans="6:16" ht="15">
      <c r="F158" s="13"/>
      <c r="L158" s="3"/>
      <c r="M158" s="5"/>
      <c r="N158" s="3"/>
      <c r="O158" s="3"/>
      <c r="P158" s="3"/>
    </row>
    <row r="159" spans="1:5" ht="15">
      <c r="A159" s="5"/>
      <c r="B159" s="5"/>
      <c r="C159" s="5"/>
      <c r="D159" s="5"/>
      <c r="E159" s="5"/>
    </row>
    <row r="160" spans="2:16" ht="15">
      <c r="B160" s="5"/>
      <c r="C160" s="5"/>
      <c r="K160" s="5"/>
      <c r="L160" s="3"/>
      <c r="M160" s="5"/>
      <c r="N160" s="3"/>
      <c r="O160" s="3"/>
      <c r="P160" s="3"/>
    </row>
    <row r="161" spans="2:16" ht="15">
      <c r="B161" s="5"/>
      <c r="C161" s="5"/>
      <c r="L161" s="3"/>
      <c r="M161" s="5"/>
      <c r="N161" s="3"/>
      <c r="O161" s="3"/>
      <c r="P161" s="3"/>
    </row>
    <row r="162" spans="2:16" ht="15">
      <c r="B162" s="5"/>
      <c r="C162" s="5"/>
      <c r="L162" s="3"/>
      <c r="M162" s="5"/>
      <c r="N162" s="3"/>
      <c r="O162" s="3"/>
      <c r="P162" s="3"/>
    </row>
    <row r="163" spans="2:16" ht="15">
      <c r="B163" s="5"/>
      <c r="C163" s="5"/>
      <c r="L163" s="3"/>
      <c r="M163" s="5"/>
      <c r="N163" s="3"/>
      <c r="O163" s="3"/>
      <c r="P163" s="3"/>
    </row>
    <row r="164" spans="2:3" ht="15">
      <c r="B164" s="5"/>
      <c r="C164" s="5"/>
    </row>
    <row r="165" spans="2:16" ht="15">
      <c r="B165" s="5"/>
      <c r="C165" s="5"/>
      <c r="L165" s="3"/>
      <c r="M165" s="5"/>
      <c r="N165" s="3"/>
      <c r="O165" s="3"/>
      <c r="P165" s="3"/>
    </row>
    <row r="166" spans="2:16" ht="15">
      <c r="B166" s="5"/>
      <c r="C166" s="5"/>
      <c r="L166" s="3"/>
      <c r="M166" s="5"/>
      <c r="N166" s="3"/>
      <c r="O166" s="3"/>
      <c r="P166" s="3"/>
    </row>
    <row r="167" spans="2:16" ht="15">
      <c r="B167" s="5"/>
      <c r="C167" s="5"/>
      <c r="L167" s="3"/>
      <c r="M167" s="5"/>
      <c r="N167" s="3"/>
      <c r="O167" s="3"/>
      <c r="P167" s="3"/>
    </row>
    <row r="168" spans="2:3" ht="15">
      <c r="B168" s="5"/>
      <c r="C168" s="5"/>
    </row>
    <row r="169" spans="2:3" ht="15">
      <c r="B169" s="5"/>
      <c r="C169" s="5"/>
    </row>
    <row r="170" spans="2:3" ht="15">
      <c r="B170" s="5"/>
      <c r="C170" s="5"/>
    </row>
    <row r="171" spans="2:3" ht="15">
      <c r="B171" s="5"/>
      <c r="C171" s="5"/>
    </row>
    <row r="172" spans="2:3" ht="15">
      <c r="B172" s="5"/>
      <c r="C172" s="5"/>
    </row>
    <row r="173" spans="2:3" ht="15">
      <c r="B173" s="5"/>
      <c r="C173" s="5"/>
    </row>
    <row r="174" spans="2:3" ht="15">
      <c r="B174" s="5"/>
      <c r="C174" s="5"/>
    </row>
    <row r="175" spans="2:3" ht="15">
      <c r="B175" s="5"/>
      <c r="C175" s="5"/>
    </row>
    <row r="176" spans="2:3" ht="15">
      <c r="B176" s="5"/>
      <c r="C176" s="5"/>
    </row>
    <row r="177" spans="2:3" ht="15">
      <c r="B177" s="5"/>
      <c r="C177" s="5"/>
    </row>
    <row r="178" spans="2:3" ht="15">
      <c r="B178" s="5"/>
      <c r="C178" s="5"/>
    </row>
    <row r="179" spans="2:3" ht="15">
      <c r="B179" s="5"/>
      <c r="C179" s="5"/>
    </row>
    <row r="180" spans="2:3" ht="15">
      <c r="B180" s="5"/>
      <c r="C180" s="5"/>
    </row>
    <row r="181" spans="2:3" ht="15">
      <c r="B181" s="5"/>
      <c r="C181" s="5"/>
    </row>
    <row r="182" spans="2:3" ht="15">
      <c r="B182" s="5"/>
      <c r="C182" s="5"/>
    </row>
    <row r="183" spans="2:3" ht="15">
      <c r="B183" s="5"/>
      <c r="C183" s="5"/>
    </row>
    <row r="184" spans="2:3" ht="15">
      <c r="B184" s="5"/>
      <c r="C184" s="5"/>
    </row>
    <row r="185" spans="2:3" ht="15">
      <c r="B185" s="5"/>
      <c r="C185" s="5"/>
    </row>
    <row r="186" spans="2:3" ht="15">
      <c r="B186" s="5"/>
      <c r="C186" s="5"/>
    </row>
    <row r="187" spans="2:3" ht="15">
      <c r="B187" s="5"/>
      <c r="C187" s="5"/>
    </row>
    <row r="188" spans="2:3" ht="15">
      <c r="B188" s="5"/>
      <c r="C188" s="5"/>
    </row>
    <row r="189" spans="2:3" ht="15">
      <c r="B189" s="5"/>
      <c r="C189" s="5"/>
    </row>
    <row r="190" spans="2:3" ht="15">
      <c r="B190" s="5"/>
      <c r="C190" s="5"/>
    </row>
    <row r="191" spans="2:3" ht="15">
      <c r="B191" s="5"/>
      <c r="C191" s="5"/>
    </row>
    <row r="192" spans="2:3" ht="15">
      <c r="B192" s="5"/>
      <c r="C192" s="5"/>
    </row>
    <row r="193" spans="2:3" ht="15">
      <c r="B193" s="5"/>
      <c r="C193" s="5"/>
    </row>
    <row r="194" spans="2:3" ht="15">
      <c r="B194" s="5"/>
      <c r="C194" s="5"/>
    </row>
    <row r="195" spans="2:3" ht="15">
      <c r="B195" s="5"/>
      <c r="C195" s="5"/>
    </row>
    <row r="196" spans="2:3" ht="15">
      <c r="B196" s="5"/>
      <c r="C196" s="5"/>
    </row>
    <row r="197" spans="2:3" ht="15">
      <c r="B197" s="5"/>
      <c r="C197" s="5"/>
    </row>
    <row r="198" spans="2:3" ht="15">
      <c r="B198" s="5"/>
      <c r="C198" s="5"/>
    </row>
    <row r="199" spans="2:3" ht="15">
      <c r="B199" s="5"/>
      <c r="C199" s="5"/>
    </row>
    <row r="200" spans="2:3" ht="15">
      <c r="B200" s="5"/>
      <c r="C200" s="5"/>
    </row>
    <row r="201" spans="2:3" ht="15">
      <c r="B201" s="5"/>
      <c r="C201" s="5"/>
    </row>
    <row r="202" spans="2:3" ht="15">
      <c r="B202" s="5"/>
      <c r="C202" s="5"/>
    </row>
    <row r="203" spans="2:3" ht="15">
      <c r="B203" s="5"/>
      <c r="C203" s="5"/>
    </row>
    <row r="204" spans="2:3" ht="15">
      <c r="B204" s="5"/>
      <c r="C204" s="5"/>
    </row>
    <row r="205" spans="2:3" ht="15">
      <c r="B205" s="5"/>
      <c r="C205" s="5"/>
    </row>
    <row r="206" spans="2:3" ht="15">
      <c r="B206" s="5"/>
      <c r="C206" s="5"/>
    </row>
    <row r="207" spans="2:3" ht="15">
      <c r="B207" s="5"/>
      <c r="C207" s="5"/>
    </row>
    <row r="208" spans="2:3" ht="15">
      <c r="B208" s="5"/>
      <c r="C208" s="5"/>
    </row>
    <row r="209" spans="2:3" ht="15">
      <c r="B209" s="5"/>
      <c r="C209" s="5"/>
    </row>
    <row r="210" spans="2:3" ht="15">
      <c r="B210" s="5"/>
      <c r="C210" s="5"/>
    </row>
    <row r="211" spans="2:3" ht="15">
      <c r="B211" s="5"/>
      <c r="C211" s="5"/>
    </row>
    <row r="212" spans="2:3" ht="15">
      <c r="B212" s="5"/>
      <c r="C212" s="5"/>
    </row>
    <row r="213" spans="2:3" ht="15">
      <c r="B213" s="5"/>
      <c r="C213" s="5"/>
    </row>
    <row r="214" spans="2:3" ht="15">
      <c r="B214" s="5"/>
      <c r="C214" s="5"/>
    </row>
    <row r="215" spans="2:3" ht="15">
      <c r="B215" s="5"/>
      <c r="C215" s="5"/>
    </row>
    <row r="216" spans="2:3" ht="15">
      <c r="B216" s="5"/>
      <c r="C216" s="5"/>
    </row>
    <row r="217" spans="2:3" ht="15">
      <c r="B217" s="5"/>
      <c r="C217" s="5"/>
    </row>
    <row r="218" spans="2:3" ht="15">
      <c r="B218" s="5"/>
      <c r="C218" s="5"/>
    </row>
    <row r="219" spans="2:3" ht="15">
      <c r="B219" s="5"/>
      <c r="C219" s="5"/>
    </row>
  </sheetData>
  <sheetProtection/>
  <mergeCells count="28">
    <mergeCell ref="A101:B101"/>
    <mergeCell ref="D90:E90"/>
    <mergeCell ref="A3:J3"/>
    <mergeCell ref="C36:D36"/>
    <mergeCell ref="A48:B48"/>
    <mergeCell ref="A47:F47"/>
    <mergeCell ref="C35:D35"/>
    <mergeCell ref="D48:J48"/>
    <mergeCell ref="A96:B96"/>
    <mergeCell ref="A95:B95"/>
    <mergeCell ref="A139:B139"/>
    <mergeCell ref="A140:B140"/>
    <mergeCell ref="B68:C68"/>
    <mergeCell ref="B137:C137"/>
    <mergeCell ref="A118:J118"/>
    <mergeCell ref="A106:B106"/>
    <mergeCell ref="A93:B93"/>
    <mergeCell ref="A94:B94"/>
    <mergeCell ref="D50:J50"/>
    <mergeCell ref="A113:B113"/>
    <mergeCell ref="A102:B102"/>
    <mergeCell ref="A103:B103"/>
    <mergeCell ref="B135:C135"/>
    <mergeCell ref="B136:C136"/>
    <mergeCell ref="B66:C66"/>
    <mergeCell ref="A63:H63"/>
    <mergeCell ref="B67:C67"/>
    <mergeCell ref="F90:G90"/>
  </mergeCells>
  <printOptions horizontalCentered="1"/>
  <pageMargins left="1" right="1" top="0.5" bottom="0.6" header="0.5" footer="0.5"/>
  <pageSetup fitToHeight="2" horizontalDpi="1200" verticalDpi="1200" orientation="portrait" scale="64" r:id="rId4"/>
  <rowBreaks count="1" manualBreakCount="1">
    <brk id="61" max="9" man="1"/>
  </rowBreaks>
  <ignoredErrors>
    <ignoredError sqref="I38 I32 I105 H9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Beef Cow/calf Budget</dc:title>
  <dc:subject>Livestock Budget</dc:subject>
  <dc:creator>Eric Eberly</dc:creator>
  <cp:keywords/>
  <dc:description/>
  <cp:lastModifiedBy>Laura</cp:lastModifiedBy>
  <cp:lastPrinted>2008-07-21T22:08:54Z</cp:lastPrinted>
  <dcterms:created xsi:type="dcterms:W3CDTF">1999-09-14T15:50:48Z</dcterms:created>
  <dcterms:modified xsi:type="dcterms:W3CDTF">2017-03-09T21:59:08Z</dcterms:modified>
  <cp:category/>
  <cp:version/>
  <cp:contentType/>
  <cp:contentStatus/>
</cp:coreProperties>
</file>